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55" windowWidth="10875" windowHeight="5970" firstSheet="13" activeTab="21"/>
  </bookViews>
  <sheets>
    <sheet name="งบทดลอง" sheetId="49" r:id="rId1"/>
    <sheet name="งบทดลอง. " sheetId="47" r:id="rId2"/>
    <sheet name="งบการเงิน" sheetId="4" r:id="rId3"/>
    <sheet name="งบทรัพย์สิน" sheetId="8" r:id="rId4"/>
    <sheet name="กระดาษทำการทรัพย์สิน" sheetId="37" r:id="rId5"/>
    <sheet name="ทรัพย์สินเพิ่ม" sheetId="48" r:id="rId6"/>
    <sheet name="ทรัพย์สินลด" sheetId="101" r:id="rId7"/>
    <sheet name="ที่มาทรัพย์สิน" sheetId="46" r:id="rId8"/>
    <sheet name="ฝาก" sheetId="1" r:id="rId9"/>
    <sheet name="รายได้ค้างรับ" sheetId="84" r:id="rId10"/>
    <sheet name="ลูกหนี้ (3)" sheetId="86" r:id="rId11"/>
    <sheet name="ลูกหนี้ (2)" sheetId="85" r:id="rId12"/>
    <sheet name="ลูกหนี้ (4)" sheetId="87" r:id="rId13"/>
    <sheet name="ลูกหนี้ (5)" sheetId="88" r:id="rId14"/>
    <sheet name="ลูกหนี้ (6)" sheetId="89" r:id="rId15"/>
    <sheet name="ค้างจ่าย" sheetId="41" r:id="rId16"/>
    <sheet name="ฎีกาค้างจ่าย" sheetId="90" r:id="rId17"/>
    <sheet name="รับฝาก" sheetId="2" r:id="rId18"/>
    <sheet name="หนี้สินหมุนเวียน" sheetId="91" r:id="rId19"/>
    <sheet name="หนี้สิน" sheetId="39" r:id="rId20"/>
    <sheet name="หนี้สินไม่หมุนเวียน" sheetId="92" r:id="rId21"/>
    <sheet name="เงินสะสม" sheetId="42" r:id="rId22"/>
    <sheet name="ค่าบริการ" sheetId="65" r:id="rId23"/>
    <sheet name="งานบริหาร" sheetId="14" r:id="rId24"/>
    <sheet name="รักษาความสงบ" sheetId="16" r:id="rId25"/>
    <sheet name="การศึกษา" sheetId="26" r:id="rId26"/>
    <sheet name="สาธารณสุข" sheetId="28" r:id="rId27"/>
    <sheet name="สังคมสงเคราะห์" sheetId="27" r:id="rId28"/>
    <sheet name="เคหะชุมชน" sheetId="17" r:id="rId29"/>
    <sheet name="เข้มแข็งของชุมชน" sheetId="18" r:id="rId30"/>
    <sheet name="ศาสนา" sheetId="19" r:id="rId31"/>
    <sheet name="อุตสาหกรรม" sheetId="93" r:id="rId32"/>
    <sheet name="การเกษตร" sheetId="94" r:id="rId33"/>
    <sheet name="การพาณิชย์" sheetId="20" r:id="rId34"/>
    <sheet name="งบกลาง" sheetId="15" r:id="rId35"/>
    <sheet name="แผนงานรวม" sheetId="29" r:id="rId36"/>
    <sheet name="เงินสะสมรวม" sheetId="95" r:id="rId37"/>
    <sheet name="เงินทุนสำรองเงินสะสม" sheetId="96" r:id="rId38"/>
    <sheet name="เงินกู้" sheetId="97" r:id="rId39"/>
    <sheet name="งบรายรับ" sheetId="30" r:id="rId40"/>
    <sheet name="งบรายรับสะสม" sheetId="98" r:id="rId41"/>
    <sheet name="งบรายรับสะสมสำรอง" sheetId="99" r:id="rId42"/>
    <sheet name="งบรายรับสะสมสำรองเงินกู้" sheetId="100" r:id="rId43"/>
  </sheets>
  <definedNames>
    <definedName name="_xlnm.Print_Area" localSheetId="0">งบทดลอง!$A$1:$F$44</definedName>
    <definedName name="_xlnm.Print_Titles" localSheetId="15">ค้างจ่าย!$1:$13</definedName>
    <definedName name="_xlnm.Print_Titles" localSheetId="16">ฎีกาค้างจ่าย!$1:$14</definedName>
  </definedNames>
  <calcPr calcId="144525"/>
</workbook>
</file>

<file path=xl/calcChain.xml><?xml version="1.0" encoding="utf-8"?>
<calcChain xmlns="http://schemas.openxmlformats.org/spreadsheetml/2006/main">
  <c r="F17" i="85" l="1"/>
  <c r="A3" i="42"/>
  <c r="A3" i="92"/>
  <c r="A3" i="39"/>
  <c r="A3" i="91"/>
  <c r="A3" i="2"/>
  <c r="A3" i="90"/>
  <c r="A3" i="41"/>
  <c r="A3" i="89"/>
  <c r="A3" i="88"/>
  <c r="A3" i="87"/>
  <c r="A3" i="85"/>
  <c r="A3" i="84"/>
  <c r="A3" i="1"/>
  <c r="B15" i="8" l="1"/>
  <c r="B40" i="8" s="1"/>
  <c r="B16" i="8"/>
  <c r="B17" i="8"/>
  <c r="C38" i="37"/>
  <c r="F38" i="37"/>
  <c r="F37" i="37"/>
  <c r="H47" i="48"/>
  <c r="H44" i="48"/>
  <c r="H53" i="48" s="1"/>
  <c r="H13" i="48"/>
  <c r="H11" i="48"/>
  <c r="G195" i="101" l="1"/>
  <c r="G196" i="101" s="1"/>
  <c r="G184" i="101"/>
  <c r="G166" i="101"/>
  <c r="G157" i="101"/>
  <c r="G10" i="101"/>
  <c r="G5" i="101"/>
  <c r="H52" i="48" l="1"/>
  <c r="H49" i="48"/>
  <c r="H24" i="48"/>
  <c r="H22" i="48"/>
  <c r="H20" i="48"/>
  <c r="H16" i="48"/>
  <c r="H14" i="48"/>
  <c r="H6" i="48"/>
  <c r="N15" i="100" l="1"/>
  <c r="M13" i="100"/>
  <c r="M14" i="100"/>
  <c r="K14" i="100"/>
  <c r="K16" i="100"/>
  <c r="J16" i="100"/>
  <c r="I16" i="100"/>
  <c r="F16" i="100"/>
  <c r="D17" i="100"/>
  <c r="O15" i="99"/>
  <c r="N15" i="99"/>
  <c r="L15" i="99"/>
  <c r="K16" i="99"/>
  <c r="I14" i="99"/>
  <c r="H18" i="99"/>
  <c r="F16" i="99"/>
  <c r="D15" i="99"/>
  <c r="O15" i="98"/>
  <c r="K14" i="98"/>
  <c r="I14" i="98"/>
  <c r="H15" i="98"/>
  <c r="F15" i="98"/>
  <c r="O15" i="30"/>
  <c r="O16" i="30"/>
  <c r="O18" i="30"/>
  <c r="M13" i="30"/>
  <c r="M14" i="30"/>
  <c r="M16" i="30"/>
  <c r="L15" i="30"/>
  <c r="L16" i="30"/>
  <c r="K14" i="30"/>
  <c r="K15" i="30"/>
  <c r="K17" i="30"/>
  <c r="J16" i="30"/>
  <c r="J17" i="30"/>
  <c r="I16" i="30"/>
  <c r="H15" i="30"/>
  <c r="G13" i="30"/>
  <c r="F13" i="30"/>
  <c r="F14" i="30"/>
  <c r="F15" i="30"/>
  <c r="E14" i="30"/>
  <c r="A3" i="100"/>
  <c r="A3" i="99"/>
  <c r="A3" i="98"/>
  <c r="A3" i="30"/>
  <c r="O14" i="97"/>
  <c r="A3" i="97"/>
  <c r="G10" i="19"/>
  <c r="E20" i="15"/>
  <c r="F10" i="26"/>
  <c r="I10" i="26" s="1"/>
  <c r="F13" i="29" s="1"/>
  <c r="F13" i="99" s="1"/>
  <c r="F10" i="19"/>
  <c r="I10" i="19" s="1"/>
  <c r="K13" i="29" s="1"/>
  <c r="F10" i="15"/>
  <c r="F11" i="15"/>
  <c r="F12" i="15"/>
  <c r="F13" i="15"/>
  <c r="G8" i="20"/>
  <c r="G9" i="20"/>
  <c r="N12" i="29"/>
  <c r="N12" i="98"/>
  <c r="G10" i="20"/>
  <c r="G11" i="20"/>
  <c r="G12" i="20"/>
  <c r="N15" i="30" s="1"/>
  <c r="G10" i="94"/>
  <c r="G11" i="94"/>
  <c r="G12" i="94"/>
  <c r="M15" i="30" s="1"/>
  <c r="G13" i="94"/>
  <c r="M16" i="29"/>
  <c r="G14" i="94"/>
  <c r="M17" i="30" s="1"/>
  <c r="G10" i="93"/>
  <c r="G11" i="93"/>
  <c r="L14" i="30" s="1"/>
  <c r="G12" i="93"/>
  <c r="G13" i="93"/>
  <c r="G14" i="93"/>
  <c r="L17" i="30" s="1"/>
  <c r="I8" i="19"/>
  <c r="K11" i="30" s="1"/>
  <c r="I9" i="19"/>
  <c r="K12" i="30"/>
  <c r="I11" i="19"/>
  <c r="K14" i="29"/>
  <c r="K14" i="99" s="1"/>
  <c r="I12" i="19"/>
  <c r="K15" i="29" s="1"/>
  <c r="I13" i="19"/>
  <c r="K16" i="30" s="1"/>
  <c r="I14" i="19"/>
  <c r="K17" i="29" s="1"/>
  <c r="K17" i="100" s="1"/>
  <c r="I15" i="19"/>
  <c r="K18" i="30" s="1"/>
  <c r="I16" i="19"/>
  <c r="I17" i="19"/>
  <c r="K20" i="30"/>
  <c r="I18" i="19"/>
  <c r="K21" i="30" s="1"/>
  <c r="I19" i="19"/>
  <c r="K22" i="29" s="1"/>
  <c r="I20" i="19"/>
  <c r="G8" i="18"/>
  <c r="G9" i="18"/>
  <c r="J12" i="30"/>
  <c r="G10" i="18"/>
  <c r="G11" i="18"/>
  <c r="G12" i="18"/>
  <c r="G13" i="18"/>
  <c r="G14" i="18"/>
  <c r="G15" i="18"/>
  <c r="G16" i="18"/>
  <c r="J8" i="17"/>
  <c r="J9" i="17"/>
  <c r="I12" i="30"/>
  <c r="J10" i="17"/>
  <c r="I13" i="30" s="1"/>
  <c r="J11" i="17"/>
  <c r="I14" i="30" s="1"/>
  <c r="I14" i="29"/>
  <c r="I14" i="100" s="1"/>
  <c r="J12" i="17"/>
  <c r="I15" i="30" s="1"/>
  <c r="I15" i="29"/>
  <c r="J13" i="17"/>
  <c r="J14" i="17"/>
  <c r="J15" i="17"/>
  <c r="G8" i="27"/>
  <c r="G9" i="27"/>
  <c r="G10" i="27"/>
  <c r="G11" i="27"/>
  <c r="H14" i="30" s="1"/>
  <c r="G12" i="27"/>
  <c r="G13" i="27"/>
  <c r="G14" i="27"/>
  <c r="I10" i="28"/>
  <c r="I11" i="28"/>
  <c r="G14" i="30" s="1"/>
  <c r="I12" i="28"/>
  <c r="G15" i="30" s="1"/>
  <c r="I13" i="28"/>
  <c r="G16" i="30" s="1"/>
  <c r="G16" i="29"/>
  <c r="I14" i="28"/>
  <c r="G17" i="29"/>
  <c r="I9" i="26"/>
  <c r="I11" i="26"/>
  <c r="I12" i="26"/>
  <c r="I13" i="26"/>
  <c r="F16" i="29" s="1"/>
  <c r="F16" i="30"/>
  <c r="I14" i="26"/>
  <c r="I15" i="26"/>
  <c r="F18" i="30" s="1"/>
  <c r="O14" i="96"/>
  <c r="O14" i="95"/>
  <c r="A3" i="95"/>
  <c r="O15" i="29"/>
  <c r="O15" i="100" s="1"/>
  <c r="O16" i="29"/>
  <c r="O18" i="29"/>
  <c r="O21" i="29"/>
  <c r="O21" i="98" s="1"/>
  <c r="N15" i="29"/>
  <c r="N15" i="98" s="1"/>
  <c r="N16" i="29"/>
  <c r="N16" i="100" s="1"/>
  <c r="M14" i="29"/>
  <c r="M14" i="99" s="1"/>
  <c r="M15" i="29"/>
  <c r="L14" i="29"/>
  <c r="L15" i="29"/>
  <c r="L15" i="100" s="1"/>
  <c r="K16" i="29"/>
  <c r="K16" i="98" s="1"/>
  <c r="K17" i="98"/>
  <c r="H13" i="29"/>
  <c r="H13" i="98" s="1"/>
  <c r="G13" i="29"/>
  <c r="F14" i="29"/>
  <c r="F14" i="98" s="1"/>
  <c r="F15" i="29"/>
  <c r="E13" i="29"/>
  <c r="D20" i="29"/>
  <c r="D20" i="100" s="1"/>
  <c r="D12" i="27"/>
  <c r="D24" i="27" s="1"/>
  <c r="H11" i="16"/>
  <c r="E14" i="29" s="1"/>
  <c r="E14" i="99" s="1"/>
  <c r="D12" i="16"/>
  <c r="H12" i="16"/>
  <c r="H11" i="14"/>
  <c r="D14" i="30" s="1"/>
  <c r="D19" i="15"/>
  <c r="A3" i="15"/>
  <c r="A3" i="20"/>
  <c r="A3" i="94"/>
  <c r="A3" i="93"/>
  <c r="D18" i="19"/>
  <c r="D10" i="19"/>
  <c r="D24" i="19" s="1"/>
  <c r="A3" i="19"/>
  <c r="D10" i="18"/>
  <c r="A3" i="18"/>
  <c r="D12" i="17"/>
  <c r="D10" i="17"/>
  <c r="D9" i="17"/>
  <c r="D8" i="17"/>
  <c r="D18" i="17"/>
  <c r="B21" i="100" s="1"/>
  <c r="D15" i="17"/>
  <c r="D14" i="17"/>
  <c r="D13" i="17"/>
  <c r="B12" i="98"/>
  <c r="B18" i="99"/>
  <c r="A3" i="17"/>
  <c r="D10" i="27"/>
  <c r="D9" i="27"/>
  <c r="D8" i="27"/>
  <c r="A3" i="27"/>
  <c r="D10" i="28"/>
  <c r="D24" i="28" s="1"/>
  <c r="D12" i="28"/>
  <c r="D8" i="28"/>
  <c r="A3" i="28"/>
  <c r="D12" i="26"/>
  <c r="D10" i="26"/>
  <c r="D14" i="26"/>
  <c r="D8" i="26"/>
  <c r="D24" i="26" s="1"/>
  <c r="D10" i="16"/>
  <c r="D14" i="16"/>
  <c r="B17" i="30"/>
  <c r="D9" i="16"/>
  <c r="D8" i="16"/>
  <c r="A3" i="26"/>
  <c r="A3" i="16"/>
  <c r="E10" i="14"/>
  <c r="E24" i="14" s="1"/>
  <c r="E9" i="14"/>
  <c r="D7" i="14"/>
  <c r="D14" i="14"/>
  <c r="D13" i="14"/>
  <c r="B16" i="100" s="1"/>
  <c r="D12" i="14"/>
  <c r="D10" i="14"/>
  <c r="D9" i="14"/>
  <c r="B12" i="30" s="1"/>
  <c r="D8" i="14"/>
  <c r="B11" i="100" s="1"/>
  <c r="F23" i="42"/>
  <c r="D16" i="42"/>
  <c r="D14" i="42"/>
  <c r="D12" i="42"/>
  <c r="D10" i="42"/>
  <c r="F18" i="42" s="1"/>
  <c r="F11" i="2"/>
  <c r="G11" i="4"/>
  <c r="F25" i="47"/>
  <c r="E25" i="47"/>
  <c r="F8" i="39"/>
  <c r="D40" i="8"/>
  <c r="C13" i="46"/>
  <c r="D13" i="46"/>
  <c r="E13" i="46"/>
  <c r="F7" i="46"/>
  <c r="F8" i="46"/>
  <c r="F9" i="46"/>
  <c r="F10" i="46"/>
  <c r="F11" i="46"/>
  <c r="B13" i="46"/>
  <c r="F20" i="37"/>
  <c r="F21" i="37"/>
  <c r="G32" i="4"/>
  <c r="G28" i="4"/>
  <c r="G25" i="4"/>
  <c r="G16" i="4"/>
  <c r="D21" i="100"/>
  <c r="L23" i="100"/>
  <c r="L12" i="99"/>
  <c r="N20" i="99"/>
  <c r="F10" i="99"/>
  <c r="B40" i="100"/>
  <c r="C40" i="100"/>
  <c r="B23" i="100"/>
  <c r="B22" i="100"/>
  <c r="B20" i="100"/>
  <c r="B19" i="100"/>
  <c r="B36" i="99"/>
  <c r="C36" i="99"/>
  <c r="B23" i="99"/>
  <c r="B22" i="99"/>
  <c r="B20" i="99"/>
  <c r="B19" i="99"/>
  <c r="B17" i="99"/>
  <c r="H20" i="98"/>
  <c r="D21" i="98"/>
  <c r="B36" i="98"/>
  <c r="C36" i="98"/>
  <c r="B23" i="98"/>
  <c r="B22" i="98"/>
  <c r="B20" i="98"/>
  <c r="B19" i="98"/>
  <c r="B10" i="98"/>
  <c r="C36" i="30"/>
  <c r="B36" i="30"/>
  <c r="B16" i="30"/>
  <c r="B19" i="30"/>
  <c r="B20" i="30"/>
  <c r="B22" i="30"/>
  <c r="B23" i="30"/>
  <c r="B10" i="30"/>
  <c r="D17" i="30"/>
  <c r="D21" i="30"/>
  <c r="D22" i="30"/>
  <c r="M23" i="30"/>
  <c r="H23" i="30"/>
  <c r="G23" i="30"/>
  <c r="E23" i="30"/>
  <c r="M22" i="30"/>
  <c r="G22" i="30"/>
  <c r="O21" i="30"/>
  <c r="G21" i="30"/>
  <c r="F21" i="30"/>
  <c r="O20" i="30"/>
  <c r="O19" i="30"/>
  <c r="M19" i="30"/>
  <c r="M18" i="30"/>
  <c r="H18" i="30"/>
  <c r="G18" i="30"/>
  <c r="E16" i="30"/>
  <c r="M12" i="30"/>
  <c r="L12" i="30"/>
  <c r="H12" i="30"/>
  <c r="N11" i="30"/>
  <c r="J11" i="30"/>
  <c r="O10" i="30"/>
  <c r="N10" i="30"/>
  <c r="K10" i="30"/>
  <c r="F10" i="30"/>
  <c r="N27" i="97"/>
  <c r="M27" i="97"/>
  <c r="L27" i="97"/>
  <c r="K27" i="97"/>
  <c r="J27" i="97"/>
  <c r="I27" i="97"/>
  <c r="H27" i="97"/>
  <c r="G27" i="97"/>
  <c r="F27" i="97"/>
  <c r="E27" i="97"/>
  <c r="D27" i="97"/>
  <c r="C27" i="97"/>
  <c r="O23" i="97"/>
  <c r="O22" i="97"/>
  <c r="O21" i="97"/>
  <c r="O20" i="97"/>
  <c r="O19" i="97"/>
  <c r="O18" i="97"/>
  <c r="O17" i="97"/>
  <c r="O16" i="97"/>
  <c r="O15" i="97"/>
  <c r="O13" i="97"/>
  <c r="O12" i="97"/>
  <c r="O11" i="97"/>
  <c r="O10" i="97"/>
  <c r="N27" i="96"/>
  <c r="M27" i="96"/>
  <c r="L27" i="96"/>
  <c r="K27" i="96"/>
  <c r="J27" i="96"/>
  <c r="I27" i="96"/>
  <c r="H27" i="96"/>
  <c r="G27" i="96"/>
  <c r="F27" i="96"/>
  <c r="E27" i="96"/>
  <c r="D27" i="96"/>
  <c r="C27" i="96"/>
  <c r="O23" i="96"/>
  <c r="O22" i="96"/>
  <c r="O21" i="96"/>
  <c r="O20" i="96"/>
  <c r="O19" i="96"/>
  <c r="O18" i="96"/>
  <c r="O17" i="96"/>
  <c r="O16" i="96"/>
  <c r="O15" i="96"/>
  <c r="O13" i="96"/>
  <c r="O12" i="96"/>
  <c r="O11" i="96"/>
  <c r="O10" i="96"/>
  <c r="O15" i="95"/>
  <c r="O27" i="95" s="1"/>
  <c r="D27" i="95"/>
  <c r="I27" i="95"/>
  <c r="M27" i="95"/>
  <c r="F27" i="95"/>
  <c r="L27" i="95"/>
  <c r="K27" i="95"/>
  <c r="N20" i="29"/>
  <c r="N20" i="100" s="1"/>
  <c r="N23" i="29"/>
  <c r="N23" i="100" s="1"/>
  <c r="M18" i="29"/>
  <c r="M22" i="29"/>
  <c r="M22" i="98" s="1"/>
  <c r="L16" i="29"/>
  <c r="L19" i="29"/>
  <c r="L21" i="29"/>
  <c r="L21" i="100" s="1"/>
  <c r="L23" i="29"/>
  <c r="J21" i="29"/>
  <c r="J23" i="29"/>
  <c r="J23" i="99"/>
  <c r="H20" i="29"/>
  <c r="H22" i="29"/>
  <c r="H22" i="100" s="1"/>
  <c r="G21" i="29"/>
  <c r="G22" i="29"/>
  <c r="G22" i="100"/>
  <c r="D21" i="29"/>
  <c r="D21" i="99" s="1"/>
  <c r="F14" i="15"/>
  <c r="O17" i="30" s="1"/>
  <c r="F15" i="15"/>
  <c r="F16" i="15"/>
  <c r="O19" i="29" s="1"/>
  <c r="O19" i="100" s="1"/>
  <c r="F17" i="15"/>
  <c r="O20" i="29" s="1"/>
  <c r="O20" i="100" s="1"/>
  <c r="F18" i="15"/>
  <c r="F19" i="15"/>
  <c r="O22" i="30" s="1"/>
  <c r="F20" i="15"/>
  <c r="G13" i="20"/>
  <c r="N16" i="30" s="1"/>
  <c r="G14" i="20"/>
  <c r="N17" i="29" s="1"/>
  <c r="G15" i="20"/>
  <c r="G16" i="20"/>
  <c r="N19" i="30" s="1"/>
  <c r="G17" i="20"/>
  <c r="N20" i="30" s="1"/>
  <c r="G18" i="20"/>
  <c r="N21" i="29" s="1"/>
  <c r="N21" i="98" s="1"/>
  <c r="G19" i="20"/>
  <c r="G20" i="20"/>
  <c r="N23" i="30" s="1"/>
  <c r="G15" i="94"/>
  <c r="G16" i="94"/>
  <c r="M19" i="29" s="1"/>
  <c r="M19" i="100" s="1"/>
  <c r="G17" i="94"/>
  <c r="M20" i="30" s="1"/>
  <c r="G18" i="94"/>
  <c r="M21" i="30" s="1"/>
  <c r="G19" i="94"/>
  <c r="G20" i="94"/>
  <c r="M23" i="29" s="1"/>
  <c r="M23" i="100" s="1"/>
  <c r="G15" i="93"/>
  <c r="G16" i="93"/>
  <c r="L19" i="30" s="1"/>
  <c r="G17" i="93"/>
  <c r="L20" i="30" s="1"/>
  <c r="G18" i="93"/>
  <c r="L21" i="30" s="1"/>
  <c r="G19" i="93"/>
  <c r="G20" i="93"/>
  <c r="L23" i="30" s="1"/>
  <c r="K19" i="29"/>
  <c r="J17" i="29"/>
  <c r="G17" i="18"/>
  <c r="G18" i="18"/>
  <c r="J21" i="30" s="1"/>
  <c r="G19" i="18"/>
  <c r="J22" i="30" s="1"/>
  <c r="G20" i="18"/>
  <c r="J23" i="30" s="1"/>
  <c r="J16" i="17"/>
  <c r="I19" i="30" s="1"/>
  <c r="J17" i="17"/>
  <c r="I20" i="30"/>
  <c r="J18" i="17"/>
  <c r="I21" i="29" s="1"/>
  <c r="J19" i="17"/>
  <c r="J20" i="17"/>
  <c r="I23" i="30"/>
  <c r="H17" i="30"/>
  <c r="G15" i="27"/>
  <c r="H18" i="29" s="1"/>
  <c r="G16" i="27"/>
  <c r="H19" i="29" s="1"/>
  <c r="H19" i="100" s="1"/>
  <c r="G17" i="27"/>
  <c r="H20" i="30" s="1"/>
  <c r="G18" i="27"/>
  <c r="G19" i="27"/>
  <c r="H22" i="30" s="1"/>
  <c r="G20" i="27"/>
  <c r="H23" i="29" s="1"/>
  <c r="H23" i="99" s="1"/>
  <c r="I15" i="28"/>
  <c r="G18" i="29"/>
  <c r="G18" i="99" s="1"/>
  <c r="I16" i="28"/>
  <c r="G19" i="30" s="1"/>
  <c r="G19" i="29"/>
  <c r="G19" i="99" s="1"/>
  <c r="I17" i="28"/>
  <c r="G20" i="29"/>
  <c r="I18" i="28"/>
  <c r="I19" i="28"/>
  <c r="I20" i="28"/>
  <c r="G23" i="29"/>
  <c r="H12" i="14"/>
  <c r="D15" i="29" s="1"/>
  <c r="D15" i="98" s="1"/>
  <c r="D15" i="30"/>
  <c r="H13" i="14"/>
  <c r="H14" i="14"/>
  <c r="D17" i="29"/>
  <c r="D17" i="99"/>
  <c r="H15" i="14"/>
  <c r="D18" i="30" s="1"/>
  <c r="H16" i="14"/>
  <c r="H17" i="14"/>
  <c r="D20" i="30" s="1"/>
  <c r="H18" i="14"/>
  <c r="H19" i="14"/>
  <c r="D22" i="29" s="1"/>
  <c r="H20" i="14"/>
  <c r="D23" i="30" s="1"/>
  <c r="I16" i="26"/>
  <c r="F19" i="30" s="1"/>
  <c r="I17" i="26"/>
  <c r="I18" i="26"/>
  <c r="F21" i="29"/>
  <c r="I19" i="26"/>
  <c r="I20" i="26"/>
  <c r="H15" i="16"/>
  <c r="H16" i="16"/>
  <c r="E19" i="29" s="1"/>
  <c r="H17" i="16"/>
  <c r="E20" i="29"/>
  <c r="H18" i="16"/>
  <c r="E21" i="29" s="1"/>
  <c r="E21" i="98" s="1"/>
  <c r="E21" i="30"/>
  <c r="H19" i="16"/>
  <c r="H24" i="16" s="1"/>
  <c r="H20" i="16"/>
  <c r="E23" i="29" s="1"/>
  <c r="F8" i="15"/>
  <c r="O11" i="30" s="1"/>
  <c r="F9" i="15"/>
  <c r="O12" i="30" s="1"/>
  <c r="O12" i="29"/>
  <c r="F7" i="15"/>
  <c r="O10" i="29" s="1"/>
  <c r="G7" i="20"/>
  <c r="G8" i="94"/>
  <c r="M11" i="30" s="1"/>
  <c r="G9" i="94"/>
  <c r="M13" i="29"/>
  <c r="M13" i="99" s="1"/>
  <c r="G7" i="94"/>
  <c r="M10" i="30" s="1"/>
  <c r="G8" i="93"/>
  <c r="L11" i="30" s="1"/>
  <c r="G9" i="93"/>
  <c r="G7" i="93"/>
  <c r="I7" i="19"/>
  <c r="K10" i="29"/>
  <c r="K10" i="98"/>
  <c r="J16" i="29"/>
  <c r="G7" i="18"/>
  <c r="I13" i="29"/>
  <c r="I16" i="29"/>
  <c r="I16" i="99" s="1"/>
  <c r="I18" i="30"/>
  <c r="J7" i="17"/>
  <c r="I10" i="29" s="1"/>
  <c r="H11" i="30"/>
  <c r="H13" i="30"/>
  <c r="G7" i="27"/>
  <c r="H10" i="30" s="1"/>
  <c r="I8" i="28"/>
  <c r="G11" i="29" s="1"/>
  <c r="I9" i="28"/>
  <c r="G12" i="29"/>
  <c r="G15" i="29"/>
  <c r="I7" i="28"/>
  <c r="I8" i="26"/>
  <c r="F11" i="29" s="1"/>
  <c r="F12" i="30"/>
  <c r="F17" i="30"/>
  <c r="I7" i="26"/>
  <c r="F10" i="29"/>
  <c r="F10" i="98"/>
  <c r="H8" i="16"/>
  <c r="E11" i="30" s="1"/>
  <c r="H9" i="16"/>
  <c r="H10" i="16"/>
  <c r="E13" i="30" s="1"/>
  <c r="H13" i="16"/>
  <c r="E16" i="29"/>
  <c r="H14" i="16"/>
  <c r="E17" i="30" s="1"/>
  <c r="H8" i="14"/>
  <c r="D11" i="29" s="1"/>
  <c r="H9" i="14"/>
  <c r="D12" i="30" s="1"/>
  <c r="H10" i="14"/>
  <c r="O11" i="29"/>
  <c r="O11" i="99"/>
  <c r="N11" i="29"/>
  <c r="N11" i="99"/>
  <c r="N10" i="29"/>
  <c r="N10" i="98" s="1"/>
  <c r="N10" i="99"/>
  <c r="M11" i="29"/>
  <c r="M11" i="100" s="1"/>
  <c r="M12" i="29"/>
  <c r="M12" i="100" s="1"/>
  <c r="M10" i="29"/>
  <c r="M10" i="99" s="1"/>
  <c r="L12" i="29"/>
  <c r="J11" i="29"/>
  <c r="J11" i="99" s="1"/>
  <c r="H11" i="29"/>
  <c r="H11" i="100"/>
  <c r="H12" i="29"/>
  <c r="H12" i="99"/>
  <c r="H10" i="29"/>
  <c r="H10" i="99"/>
  <c r="F12" i="29"/>
  <c r="K18" i="29"/>
  <c r="O12" i="95"/>
  <c r="O17" i="95"/>
  <c r="O22" i="95"/>
  <c r="O19" i="95"/>
  <c r="O21" i="95"/>
  <c r="G27" i="95"/>
  <c r="O13" i="95"/>
  <c r="O20" i="95"/>
  <c r="H27" i="95"/>
  <c r="J27" i="95"/>
  <c r="O11" i="95"/>
  <c r="N27" i="95"/>
  <c r="O18" i="95"/>
  <c r="O23" i="95"/>
  <c r="O10" i="95"/>
  <c r="C27" i="95"/>
  <c r="O16" i="95"/>
  <c r="E27" i="95"/>
  <c r="E24" i="15"/>
  <c r="D24" i="15"/>
  <c r="F24" i="20"/>
  <c r="E24" i="20"/>
  <c r="D24" i="20"/>
  <c r="F24" i="94"/>
  <c r="E24" i="94"/>
  <c r="F24" i="93"/>
  <c r="E24" i="93"/>
  <c r="F24" i="19"/>
  <c r="G24" i="19"/>
  <c r="H24" i="19"/>
  <c r="E24" i="19"/>
  <c r="D24" i="18"/>
  <c r="F24" i="18"/>
  <c r="E24" i="18"/>
  <c r="G24" i="17"/>
  <c r="H24" i="17"/>
  <c r="F24" i="17"/>
  <c r="I24" i="17"/>
  <c r="E24" i="17"/>
  <c r="F24" i="27"/>
  <c r="E24" i="27"/>
  <c r="H24" i="28"/>
  <c r="G24" i="28"/>
  <c r="F24" i="28"/>
  <c r="E24" i="28"/>
  <c r="H24" i="26"/>
  <c r="G24" i="26"/>
  <c r="F24" i="26"/>
  <c r="E24" i="26"/>
  <c r="G24" i="16"/>
  <c r="F24" i="16"/>
  <c r="E24" i="16"/>
  <c r="G24" i="14"/>
  <c r="F24" i="14"/>
  <c r="H7" i="16"/>
  <c r="B13" i="98"/>
  <c r="B21" i="99"/>
  <c r="D24" i="94"/>
  <c r="D24" i="93"/>
  <c r="F17" i="92"/>
  <c r="F17" i="91"/>
  <c r="F14" i="2"/>
  <c r="G13" i="90"/>
  <c r="G12" i="41"/>
  <c r="E9" i="89"/>
  <c r="E9" i="88"/>
  <c r="E9" i="87"/>
  <c r="E29" i="86"/>
  <c r="D29" i="86"/>
  <c r="E24" i="86"/>
  <c r="D24" i="86"/>
  <c r="E13" i="86"/>
  <c r="D13" i="86"/>
  <c r="F14" i="84"/>
  <c r="E37" i="49"/>
  <c r="G37" i="49" s="1"/>
  <c r="F37" i="49"/>
  <c r="F39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3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B41" i="37"/>
  <c r="D41" i="37"/>
  <c r="E41" i="37"/>
  <c r="C41" i="37"/>
  <c r="F6" i="46"/>
  <c r="A3" i="46"/>
  <c r="A3" i="37"/>
  <c r="A3" i="4"/>
  <c r="A3" i="65" s="1"/>
  <c r="B73" i="8"/>
  <c r="B65" i="8"/>
  <c r="D64" i="8"/>
  <c r="D75" i="8" s="1"/>
  <c r="D9" i="42"/>
  <c r="F19" i="42"/>
  <c r="F28" i="42" s="1"/>
  <c r="F27" i="42" s="1"/>
  <c r="F65" i="42"/>
  <c r="D21" i="65"/>
  <c r="F14" i="1"/>
  <c r="G8" i="4" s="1"/>
  <c r="G13" i="4" s="1"/>
  <c r="G17" i="4" s="1"/>
  <c r="D24" i="14"/>
  <c r="H7" i="14"/>
  <c r="D10" i="29" s="1"/>
  <c r="D10" i="98" s="1"/>
  <c r="G25" i="47"/>
  <c r="D11" i="98"/>
  <c r="D11" i="30"/>
  <c r="H24" i="14"/>
  <c r="D10" i="100"/>
  <c r="K13" i="30"/>
  <c r="N12" i="30"/>
  <c r="M17" i="29"/>
  <c r="M17" i="100" s="1"/>
  <c r="G24" i="94"/>
  <c r="K22" i="98"/>
  <c r="K22" i="99"/>
  <c r="K22" i="30"/>
  <c r="K12" i="29"/>
  <c r="J12" i="29"/>
  <c r="J12" i="100" s="1"/>
  <c r="H15" i="29"/>
  <c r="H15" i="99" s="1"/>
  <c r="M11" i="98"/>
  <c r="J12" i="99"/>
  <c r="H19" i="98"/>
  <c r="O11" i="100"/>
  <c r="K10" i="100"/>
  <c r="N11" i="100"/>
  <c r="O11" i="98"/>
  <c r="H22" i="98"/>
  <c r="N21" i="99"/>
  <c r="M11" i="99"/>
  <c r="L19" i="100"/>
  <c r="O20" i="98"/>
  <c r="O20" i="99"/>
  <c r="O10" i="98"/>
  <c r="O12" i="99"/>
  <c r="N12" i="99"/>
  <c r="N12" i="100"/>
  <c r="N23" i="99"/>
  <c r="N10" i="100"/>
  <c r="N23" i="98"/>
  <c r="N11" i="98"/>
  <c r="M23" i="99"/>
  <c r="M23" i="98"/>
  <c r="M13" i="98"/>
  <c r="M19" i="98"/>
  <c r="M19" i="99"/>
  <c r="M12" i="99"/>
  <c r="M12" i="98"/>
  <c r="K19" i="100"/>
  <c r="K19" i="99"/>
  <c r="K19" i="98"/>
  <c r="K11" i="29"/>
  <c r="K11" i="98" s="1"/>
  <c r="K10" i="99"/>
  <c r="K20" i="29"/>
  <c r="K20" i="100" s="1"/>
  <c r="K19" i="30"/>
  <c r="K12" i="98"/>
  <c r="K22" i="100"/>
  <c r="J21" i="98"/>
  <c r="J12" i="98"/>
  <c r="I20" i="29"/>
  <c r="I19" i="29"/>
  <c r="I19" i="100" s="1"/>
  <c r="H23" i="100"/>
  <c r="H10" i="98"/>
  <c r="H18" i="98"/>
  <c r="H11" i="98"/>
  <c r="H11" i="99"/>
  <c r="H10" i="100"/>
  <c r="H18" i="100"/>
  <c r="H12" i="98"/>
  <c r="H23" i="98"/>
  <c r="H12" i="100"/>
  <c r="G19" i="98"/>
  <c r="G19" i="100"/>
  <c r="G11" i="98"/>
  <c r="G11" i="100"/>
  <c r="G18" i="98"/>
  <c r="G23" i="98"/>
  <c r="G23" i="100"/>
  <c r="G23" i="99"/>
  <c r="G22" i="99"/>
  <c r="G21" i="98"/>
  <c r="G11" i="30"/>
  <c r="G20" i="30"/>
  <c r="G22" i="98"/>
  <c r="F19" i="29"/>
  <c r="F19" i="100" s="1"/>
  <c r="F18" i="29"/>
  <c r="F18" i="98"/>
  <c r="F16" i="98"/>
  <c r="F10" i="100"/>
  <c r="E23" i="98"/>
  <c r="E19" i="98"/>
  <c r="E19" i="99"/>
  <c r="E20" i="100"/>
  <c r="E20" i="99"/>
  <c r="E17" i="29"/>
  <c r="E19" i="30"/>
  <c r="E20" i="30"/>
  <c r="B17" i="98"/>
  <c r="B17" i="100"/>
  <c r="D24" i="16"/>
  <c r="E20" i="98"/>
  <c r="E21" i="100"/>
  <c r="E21" i="99"/>
  <c r="E19" i="100"/>
  <c r="E16" i="98"/>
  <c r="D17" i="98"/>
  <c r="D20" i="98"/>
  <c r="I24" i="19"/>
  <c r="K13" i="100"/>
  <c r="J13" i="29"/>
  <c r="J13" i="99"/>
  <c r="J13" i="30"/>
  <c r="I12" i="29"/>
  <c r="I12" i="98" s="1"/>
  <c r="I23" i="29"/>
  <c r="I21" i="99"/>
  <c r="I18" i="29"/>
  <c r="I18" i="99" s="1"/>
  <c r="I18" i="100"/>
  <c r="I16" i="98"/>
  <c r="I13" i="100"/>
  <c r="I13" i="98"/>
  <c r="I13" i="99"/>
  <c r="B12" i="100"/>
  <c r="B12" i="99"/>
  <c r="B18" i="30"/>
  <c r="B18" i="100"/>
  <c r="B18" i="98"/>
  <c r="I11" i="29"/>
  <c r="I11" i="30"/>
  <c r="D24" i="17"/>
  <c r="H17" i="29"/>
  <c r="H17" i="98" s="1"/>
  <c r="H13" i="99"/>
  <c r="H13" i="100"/>
  <c r="G24" i="27"/>
  <c r="G17" i="30"/>
  <c r="G13" i="98"/>
  <c r="G13" i="99"/>
  <c r="G13" i="100"/>
  <c r="G12" i="98"/>
  <c r="G12" i="99"/>
  <c r="G12" i="100"/>
  <c r="G12" i="30"/>
  <c r="G11" i="99"/>
  <c r="F21" i="100"/>
  <c r="F21" i="99"/>
  <c r="F21" i="98"/>
  <c r="F13" i="98"/>
  <c r="F13" i="100"/>
  <c r="F17" i="29"/>
  <c r="F17" i="98" s="1"/>
  <c r="E11" i="29"/>
  <c r="E13" i="99"/>
  <c r="K12" i="100"/>
  <c r="K12" i="99"/>
  <c r="I18" i="98"/>
  <c r="E17" i="98"/>
  <c r="K11" i="100"/>
  <c r="K11" i="99"/>
  <c r="K20" i="98"/>
  <c r="K20" i="99"/>
  <c r="I20" i="98"/>
  <c r="I20" i="100"/>
  <c r="I20" i="99"/>
  <c r="I12" i="99"/>
  <c r="I12" i="100"/>
  <c r="I23" i="100"/>
  <c r="I23" i="99"/>
  <c r="I23" i="98"/>
  <c r="H14" i="29" l="1"/>
  <c r="H14" i="98" s="1"/>
  <c r="M25" i="30"/>
  <c r="E30" i="86"/>
  <c r="D30" i="86"/>
  <c r="G33" i="4"/>
  <c r="F13" i="46"/>
  <c r="F41" i="37"/>
  <c r="F11" i="100"/>
  <c r="F11" i="98"/>
  <c r="F11" i="99"/>
  <c r="I11" i="98"/>
  <c r="I11" i="100"/>
  <c r="I11" i="99"/>
  <c r="I15" i="100"/>
  <c r="I15" i="99"/>
  <c r="I15" i="98"/>
  <c r="M17" i="99"/>
  <c r="E11" i="98"/>
  <c r="E11" i="99"/>
  <c r="E10" i="30"/>
  <c r="E10" i="29"/>
  <c r="F12" i="100"/>
  <c r="F12" i="99"/>
  <c r="J10" i="30"/>
  <c r="J10" i="29"/>
  <c r="G24" i="18"/>
  <c r="E18" i="29"/>
  <c r="E18" i="30"/>
  <c r="D22" i="98"/>
  <c r="D22" i="100"/>
  <c r="D22" i="99"/>
  <c r="D16" i="30"/>
  <c r="D16" i="29"/>
  <c r="I21" i="98"/>
  <c r="I21" i="100"/>
  <c r="J17" i="99"/>
  <c r="J17" i="98"/>
  <c r="L19" i="98"/>
  <c r="L19" i="99"/>
  <c r="B15" i="99"/>
  <c r="B15" i="98"/>
  <c r="B15" i="30"/>
  <c r="G17" i="100"/>
  <c r="G17" i="99"/>
  <c r="H16" i="30"/>
  <c r="H16" i="29"/>
  <c r="I17" i="30"/>
  <c r="I17" i="29"/>
  <c r="G24" i="20"/>
  <c r="N13" i="30"/>
  <c r="N13" i="29"/>
  <c r="O13" i="30"/>
  <c r="O13" i="29"/>
  <c r="M17" i="98"/>
  <c r="G17" i="98"/>
  <c r="B15" i="100"/>
  <c r="J11" i="98"/>
  <c r="E16" i="99"/>
  <c r="E16" i="100"/>
  <c r="E23" i="99"/>
  <c r="E23" i="100"/>
  <c r="F23" i="30"/>
  <c r="F23" i="29"/>
  <c r="O22" i="29"/>
  <c r="O21" i="99"/>
  <c r="J24" i="17"/>
  <c r="J17" i="100"/>
  <c r="P17" i="29"/>
  <c r="F17" i="99"/>
  <c r="F22" i="29"/>
  <c r="F22" i="30"/>
  <c r="G16" i="100"/>
  <c r="G16" i="99"/>
  <c r="G16" i="98"/>
  <c r="E12" i="29"/>
  <c r="E12" i="30"/>
  <c r="M20" i="29"/>
  <c r="E13" i="98"/>
  <c r="E13" i="100"/>
  <c r="G15" i="98"/>
  <c r="G15" i="99"/>
  <c r="M18" i="99"/>
  <c r="M18" i="100"/>
  <c r="M18" i="98"/>
  <c r="O27" i="96"/>
  <c r="F15" i="100"/>
  <c r="F15" i="99"/>
  <c r="M15" i="99"/>
  <c r="M15" i="98"/>
  <c r="M15" i="100"/>
  <c r="K15" i="100"/>
  <c r="K15" i="98"/>
  <c r="F17" i="100"/>
  <c r="E22" i="29"/>
  <c r="E22" i="30"/>
  <c r="J19" i="30"/>
  <c r="J19" i="29"/>
  <c r="F18" i="100"/>
  <c r="F18" i="99"/>
  <c r="F11" i="30"/>
  <c r="C11" i="30" s="1"/>
  <c r="I24" i="26"/>
  <c r="L22" i="30"/>
  <c r="L22" i="29"/>
  <c r="N18" i="30"/>
  <c r="N18" i="29"/>
  <c r="O18" i="99"/>
  <c r="O18" i="100"/>
  <c r="O18" i="98"/>
  <c r="E11" i="100"/>
  <c r="J13" i="100"/>
  <c r="J13" i="98"/>
  <c r="D13" i="30"/>
  <c r="D13" i="29"/>
  <c r="G10" i="29"/>
  <c r="I24" i="28"/>
  <c r="G10" i="30"/>
  <c r="G25" i="30" s="1"/>
  <c r="I10" i="99"/>
  <c r="I10" i="100"/>
  <c r="I10" i="98"/>
  <c r="J21" i="99"/>
  <c r="J21" i="100"/>
  <c r="L14" i="99"/>
  <c r="L14" i="100"/>
  <c r="F12" i="98"/>
  <c r="D18" i="29"/>
  <c r="F19" i="98"/>
  <c r="H22" i="99"/>
  <c r="O12" i="100"/>
  <c r="O12" i="98"/>
  <c r="I22" i="30"/>
  <c r="I22" i="29"/>
  <c r="O23" i="30"/>
  <c r="O23" i="29"/>
  <c r="D23" i="29"/>
  <c r="G21" i="100"/>
  <c r="G21" i="99"/>
  <c r="F14" i="100"/>
  <c r="F14" i="99"/>
  <c r="L14" i="98"/>
  <c r="M10" i="98"/>
  <c r="M10" i="100"/>
  <c r="J23" i="100"/>
  <c r="J23" i="98"/>
  <c r="I19" i="99"/>
  <c r="I19" i="98"/>
  <c r="F19" i="99"/>
  <c r="H17" i="99"/>
  <c r="H17" i="100"/>
  <c r="O21" i="100"/>
  <c r="K18" i="98"/>
  <c r="K18" i="100"/>
  <c r="K18" i="99"/>
  <c r="J11" i="100"/>
  <c r="G20" i="99"/>
  <c r="G20" i="98"/>
  <c r="G20" i="100"/>
  <c r="H21" i="30"/>
  <c r="H21" i="29"/>
  <c r="P21" i="29" s="1"/>
  <c r="I21" i="30"/>
  <c r="J20" i="30"/>
  <c r="J20" i="29"/>
  <c r="L18" i="30"/>
  <c r="L18" i="29"/>
  <c r="N22" i="30"/>
  <c r="N22" i="29"/>
  <c r="L21" i="98"/>
  <c r="L21" i="99"/>
  <c r="B13" i="99"/>
  <c r="B13" i="30"/>
  <c r="B13" i="100"/>
  <c r="B21" i="30"/>
  <c r="B21" i="98"/>
  <c r="E15" i="29"/>
  <c r="E15" i="30"/>
  <c r="L13" i="30"/>
  <c r="L13" i="29"/>
  <c r="N14" i="30"/>
  <c r="N14" i="29"/>
  <c r="O14" i="30"/>
  <c r="O14" i="29"/>
  <c r="K15" i="99"/>
  <c r="G15" i="100"/>
  <c r="L23" i="99"/>
  <c r="L23" i="98"/>
  <c r="J15" i="29"/>
  <c r="J15" i="30"/>
  <c r="B11" i="99"/>
  <c r="F24" i="15"/>
  <c r="G18" i="100"/>
  <c r="H19" i="99"/>
  <c r="N21" i="100"/>
  <c r="M22" i="99"/>
  <c r="M22" i="100"/>
  <c r="J16" i="99"/>
  <c r="J16" i="98"/>
  <c r="N17" i="100"/>
  <c r="N17" i="98"/>
  <c r="N17" i="99"/>
  <c r="M21" i="29"/>
  <c r="N19" i="29"/>
  <c r="D12" i="29"/>
  <c r="J14" i="30"/>
  <c r="J14" i="29"/>
  <c r="E14" i="98"/>
  <c r="K17" i="99"/>
  <c r="N16" i="99"/>
  <c r="E14" i="100"/>
  <c r="L12" i="100"/>
  <c r="L12" i="98"/>
  <c r="C12" i="30"/>
  <c r="G24" i="93"/>
  <c r="L10" i="29"/>
  <c r="L10" i="30"/>
  <c r="O10" i="99"/>
  <c r="O10" i="100"/>
  <c r="K21" i="29"/>
  <c r="K27" i="29" s="1"/>
  <c r="O27" i="97"/>
  <c r="B11" i="30"/>
  <c r="O16" i="99"/>
  <c r="O16" i="98"/>
  <c r="O16" i="100"/>
  <c r="J18" i="29"/>
  <c r="J18" i="30"/>
  <c r="M16" i="100"/>
  <c r="M16" i="98"/>
  <c r="K13" i="99"/>
  <c r="K13" i="98"/>
  <c r="E17" i="100"/>
  <c r="E17" i="99"/>
  <c r="D20" i="99"/>
  <c r="N20" i="98"/>
  <c r="D10" i="99"/>
  <c r="D10" i="30"/>
  <c r="L11" i="29"/>
  <c r="D11" i="99"/>
  <c r="D11" i="100"/>
  <c r="D19" i="30"/>
  <c r="D19" i="29"/>
  <c r="H20" i="100"/>
  <c r="H20" i="99"/>
  <c r="L17" i="29"/>
  <c r="B10" i="100"/>
  <c r="B10" i="99"/>
  <c r="K23" i="30"/>
  <c r="K25" i="30" s="1"/>
  <c r="K23" i="29"/>
  <c r="M14" i="98"/>
  <c r="B11" i="98"/>
  <c r="B75" i="8"/>
  <c r="F20" i="29"/>
  <c r="F20" i="30"/>
  <c r="C20" i="30" s="1"/>
  <c r="O19" i="99"/>
  <c r="O19" i="98"/>
  <c r="L16" i="100"/>
  <c r="L16" i="98"/>
  <c r="L16" i="99"/>
  <c r="H19" i="30"/>
  <c r="N16" i="98"/>
  <c r="M16" i="99"/>
  <c r="D15" i="100"/>
  <c r="H15" i="100"/>
  <c r="N17" i="30"/>
  <c r="N21" i="30"/>
  <c r="O17" i="29"/>
  <c r="J22" i="29"/>
  <c r="L20" i="29"/>
  <c r="I10" i="30"/>
  <c r="B16" i="98"/>
  <c r="D14" i="29"/>
  <c r="B16" i="99"/>
  <c r="G14" i="29"/>
  <c r="L15" i="98"/>
  <c r="H14" i="99" l="1"/>
  <c r="H14" i="100"/>
  <c r="B25" i="99"/>
  <c r="B25" i="98"/>
  <c r="C14" i="30"/>
  <c r="C17" i="30"/>
  <c r="N25" i="30"/>
  <c r="J25" i="30"/>
  <c r="C23" i="30"/>
  <c r="B25" i="30"/>
  <c r="H25" i="30"/>
  <c r="C18" i="30"/>
  <c r="O25" i="30"/>
  <c r="C15" i="30"/>
  <c r="C19" i="30"/>
  <c r="C21" i="30"/>
  <c r="K27" i="100"/>
  <c r="D18" i="99"/>
  <c r="D18" i="98"/>
  <c r="P18" i="29"/>
  <c r="D18" i="100"/>
  <c r="L25" i="30"/>
  <c r="O17" i="99"/>
  <c r="O17" i="100"/>
  <c r="O17" i="98"/>
  <c r="G14" i="98"/>
  <c r="G14" i="100"/>
  <c r="G14" i="99"/>
  <c r="D27" i="29"/>
  <c r="D12" i="100"/>
  <c r="P12" i="29"/>
  <c r="D12" i="98"/>
  <c r="D12" i="99"/>
  <c r="J15" i="99"/>
  <c r="J15" i="98"/>
  <c r="J15" i="100"/>
  <c r="J20" i="99"/>
  <c r="J20" i="98"/>
  <c r="J20" i="100"/>
  <c r="O23" i="99"/>
  <c r="O23" i="100"/>
  <c r="O23" i="98"/>
  <c r="G10" i="99"/>
  <c r="G10" i="98"/>
  <c r="G27" i="29"/>
  <c r="G10" i="100"/>
  <c r="G27" i="100" s="1"/>
  <c r="F22" i="100"/>
  <c r="F22" i="99"/>
  <c r="F22" i="98"/>
  <c r="P16" i="29"/>
  <c r="D16" i="100"/>
  <c r="D16" i="99"/>
  <c r="D16" i="98"/>
  <c r="D19" i="99"/>
  <c r="C19" i="99" s="1"/>
  <c r="D19" i="100"/>
  <c r="P19" i="29"/>
  <c r="D19" i="98"/>
  <c r="C19" i="98" s="1"/>
  <c r="J18" i="100"/>
  <c r="J18" i="99"/>
  <c r="J18" i="98"/>
  <c r="N19" i="99"/>
  <c r="N19" i="98"/>
  <c r="N19" i="100"/>
  <c r="L13" i="100"/>
  <c r="L13" i="98"/>
  <c r="L13" i="99"/>
  <c r="D13" i="100"/>
  <c r="C13" i="100" s="1"/>
  <c r="D13" i="98"/>
  <c r="D13" i="99"/>
  <c r="P13" i="29"/>
  <c r="N18" i="98"/>
  <c r="N18" i="99"/>
  <c r="N18" i="100"/>
  <c r="E12" i="99"/>
  <c r="E12" i="98"/>
  <c r="E12" i="100"/>
  <c r="I17" i="100"/>
  <c r="I17" i="99"/>
  <c r="I17" i="98"/>
  <c r="C17" i="98" s="1"/>
  <c r="I27" i="29"/>
  <c r="C16" i="30"/>
  <c r="J10" i="100"/>
  <c r="J10" i="98"/>
  <c r="J25" i="98" s="1"/>
  <c r="J27" i="29"/>
  <c r="J10" i="99"/>
  <c r="K23" i="98"/>
  <c r="K23" i="99"/>
  <c r="K23" i="100"/>
  <c r="I22" i="98"/>
  <c r="I22" i="100"/>
  <c r="I27" i="100" s="1"/>
  <c r="I22" i="99"/>
  <c r="L22" i="98"/>
  <c r="L22" i="99"/>
  <c r="L22" i="100"/>
  <c r="I25" i="30"/>
  <c r="E15" i="100"/>
  <c r="C15" i="100" s="1"/>
  <c r="E15" i="98"/>
  <c r="E15" i="99"/>
  <c r="P15" i="29"/>
  <c r="L20" i="100"/>
  <c r="L20" i="98"/>
  <c r="L20" i="99"/>
  <c r="O14" i="100"/>
  <c r="O14" i="99"/>
  <c r="O14" i="98"/>
  <c r="C13" i="30"/>
  <c r="J19" i="100"/>
  <c r="J19" i="98"/>
  <c r="J19" i="99"/>
  <c r="H16" i="98"/>
  <c r="H16" i="99"/>
  <c r="H16" i="100"/>
  <c r="N22" i="100"/>
  <c r="N22" i="99"/>
  <c r="N22" i="98"/>
  <c r="H27" i="29"/>
  <c r="C22" i="30"/>
  <c r="O13" i="100"/>
  <c r="O27" i="100" s="1"/>
  <c r="O13" i="98"/>
  <c r="O13" i="99"/>
  <c r="O27" i="29"/>
  <c r="P22" i="29"/>
  <c r="B27" i="100"/>
  <c r="L11" i="100"/>
  <c r="C11" i="100" s="1"/>
  <c r="L11" i="99"/>
  <c r="C11" i="99" s="1"/>
  <c r="L11" i="98"/>
  <c r="C11" i="98" s="1"/>
  <c r="L27" i="29"/>
  <c r="L10" i="99"/>
  <c r="L10" i="100"/>
  <c r="L27" i="100" s="1"/>
  <c r="L10" i="98"/>
  <c r="E22" i="100"/>
  <c r="C22" i="100" s="1"/>
  <c r="E22" i="98"/>
  <c r="E22" i="99"/>
  <c r="E10" i="100"/>
  <c r="P10" i="29"/>
  <c r="E10" i="99"/>
  <c r="E10" i="98"/>
  <c r="E27" i="29"/>
  <c r="J22" i="99"/>
  <c r="J22" i="98"/>
  <c r="J22" i="100"/>
  <c r="F20" i="98"/>
  <c r="F20" i="99"/>
  <c r="P20" i="29"/>
  <c r="F20" i="100"/>
  <c r="L17" i="100"/>
  <c r="L17" i="98"/>
  <c r="L17" i="99"/>
  <c r="C10" i="30"/>
  <c r="D25" i="30"/>
  <c r="J14" i="100"/>
  <c r="J14" i="99"/>
  <c r="J14" i="98"/>
  <c r="L18" i="99"/>
  <c r="L18" i="98"/>
  <c r="L18" i="100"/>
  <c r="P11" i="29"/>
  <c r="F25" i="30"/>
  <c r="M20" i="100"/>
  <c r="M27" i="100" s="1"/>
  <c r="M20" i="98"/>
  <c r="M25" i="98" s="1"/>
  <c r="M20" i="99"/>
  <c r="M25" i="99" s="1"/>
  <c r="O22" i="99"/>
  <c r="O22" i="98"/>
  <c r="O22" i="100"/>
  <c r="N27" i="29"/>
  <c r="N13" i="98"/>
  <c r="N25" i="98" s="1"/>
  <c r="N13" i="99"/>
  <c r="N13" i="100"/>
  <c r="E25" i="30"/>
  <c r="F27" i="29"/>
  <c r="D14" i="98"/>
  <c r="D14" i="100"/>
  <c r="D14" i="99"/>
  <c r="P14" i="29"/>
  <c r="M21" i="99"/>
  <c r="M21" i="100"/>
  <c r="M21" i="98"/>
  <c r="C17" i="100"/>
  <c r="H21" i="98"/>
  <c r="H21" i="99"/>
  <c r="H21" i="100"/>
  <c r="C21" i="100" s="1"/>
  <c r="K21" i="100"/>
  <c r="K21" i="99"/>
  <c r="K21" i="98"/>
  <c r="K25" i="98" s="1"/>
  <c r="N14" i="98"/>
  <c r="N14" i="100"/>
  <c r="N14" i="99"/>
  <c r="M27" i="29"/>
  <c r="D23" i="99"/>
  <c r="D23" i="100"/>
  <c r="D23" i="98"/>
  <c r="P23" i="29"/>
  <c r="F23" i="99"/>
  <c r="F23" i="100"/>
  <c r="F23" i="98"/>
  <c r="E18" i="100"/>
  <c r="E18" i="99"/>
  <c r="E18" i="98"/>
  <c r="H25" i="99" l="1"/>
  <c r="O25" i="99"/>
  <c r="F25" i="99"/>
  <c r="C22" i="99"/>
  <c r="C21" i="99"/>
  <c r="C17" i="99"/>
  <c r="I25" i="99"/>
  <c r="G25" i="99"/>
  <c r="L25" i="99"/>
  <c r="K25" i="99"/>
  <c r="C20" i="99"/>
  <c r="C22" i="98"/>
  <c r="C16" i="98"/>
  <c r="C15" i="98"/>
  <c r="C20" i="98"/>
  <c r="C25" i="30"/>
  <c r="C37" i="30" s="1"/>
  <c r="P27" i="29"/>
  <c r="C14" i="99"/>
  <c r="C23" i="99"/>
  <c r="C10" i="99"/>
  <c r="C20" i="100"/>
  <c r="D25" i="99"/>
  <c r="N27" i="100"/>
  <c r="E25" i="98"/>
  <c r="C10" i="98"/>
  <c r="C15" i="99"/>
  <c r="C12" i="99"/>
  <c r="C18" i="99"/>
  <c r="N25" i="99"/>
  <c r="E25" i="99"/>
  <c r="L25" i="98"/>
  <c r="J25" i="99"/>
  <c r="C13" i="99"/>
  <c r="C19" i="100"/>
  <c r="D25" i="98"/>
  <c r="C12" i="98"/>
  <c r="C13" i="98"/>
  <c r="H27" i="100"/>
  <c r="C14" i="100"/>
  <c r="J27" i="100"/>
  <c r="C16" i="99"/>
  <c r="I25" i="98"/>
  <c r="C23" i="98"/>
  <c r="C16" i="100"/>
  <c r="C18" i="100"/>
  <c r="F27" i="100"/>
  <c r="E27" i="100"/>
  <c r="C10" i="100"/>
  <c r="C12" i="100"/>
  <c r="C21" i="98"/>
  <c r="G25" i="98"/>
  <c r="H25" i="98"/>
  <c r="C14" i="98"/>
  <c r="C23" i="100"/>
  <c r="F25" i="98"/>
  <c r="O25" i="98"/>
  <c r="D27" i="100"/>
  <c r="C18" i="98"/>
  <c r="C25" i="98" l="1"/>
  <c r="C37" i="98" s="1"/>
  <c r="C27" i="100"/>
  <c r="C41" i="100" s="1"/>
  <c r="C25" i="99"/>
  <c r="C37" i="99" s="1"/>
</calcChain>
</file>

<file path=xl/sharedStrings.xml><?xml version="1.0" encoding="utf-8"?>
<sst xmlns="http://schemas.openxmlformats.org/spreadsheetml/2006/main" count="2934" uniqueCount="776">
  <si>
    <t>หมายเหตุ   ประกอบงบแสดงฐานะการเงิน</t>
  </si>
  <si>
    <t>เงินสด  เงินฝากธนาคารและเงินฝากคลัง  (หมายเหตุ  2)</t>
  </si>
  <si>
    <t>เงินสด</t>
  </si>
  <si>
    <t>เงินฝากธนาคาร</t>
  </si>
  <si>
    <t xml:space="preserve"> -  ออมสิน  ประเภทออมทรัพย์</t>
  </si>
  <si>
    <t xml:space="preserve"> -  ธกส.  ประเภทออมทรัพย์</t>
  </si>
  <si>
    <t xml:space="preserve"> -  ธกส.  ประเภทประจำ</t>
  </si>
  <si>
    <t>-</t>
  </si>
  <si>
    <t>เงินประกันสัญญา</t>
  </si>
  <si>
    <t>รวม</t>
  </si>
  <si>
    <t>สำนักงานเทศบาลตำบลท่ายาง</t>
  </si>
  <si>
    <t>งบเงินสะสม</t>
  </si>
  <si>
    <t>บวก</t>
  </si>
  <si>
    <t>รับจริงสูงกว่าจ่ายจริง</t>
  </si>
  <si>
    <t>หัก</t>
  </si>
  <si>
    <t>1.  เงินฝาก  ก.ส.ท.</t>
  </si>
  <si>
    <t>2.  ลูกหนี้ค่าภาษี</t>
  </si>
  <si>
    <t>3.  เงินสะสมที่สามารถนำไปใช้ได้</t>
  </si>
  <si>
    <t>งบแสดงฐานะการเงิน</t>
  </si>
  <si>
    <t>เงินฝาก  -  เงินทุนส่งเสริมกิจการเทศบาล  (ก.ส.ท.)</t>
  </si>
  <si>
    <t xml:space="preserve">                                                                                                        </t>
  </si>
  <si>
    <t>รายการ</t>
  </si>
  <si>
    <t>ประมาณการ</t>
  </si>
  <si>
    <t>งบกลาง</t>
  </si>
  <si>
    <t>รายจ่าย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</si>
  <si>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</si>
  <si>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</si>
  <si>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</si>
  <si>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</si>
  <si>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</si>
  <si>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เทศบาลตำบลท่ายาง</t>
  </si>
  <si>
    <t>การพาณิชย์</t>
  </si>
  <si>
    <t>รายรับ</t>
  </si>
  <si>
    <t>ราคาทรัพย์สิน</t>
  </si>
  <si>
    <t>ชื่อ</t>
  </si>
  <si>
    <t>จำนวนเงิน</t>
  </si>
  <si>
    <t>ก. อสังหาริมทรัพย์</t>
  </si>
  <si>
    <t xml:space="preserve">     1. ที่ดิน</t>
  </si>
  <si>
    <t>ข. สังหาริมทรัพย์</t>
  </si>
  <si>
    <t xml:space="preserve">    2. เครื่องมือเครื่องใช้และอุปกรณ์</t>
  </si>
  <si>
    <t>ก. รายได้เทศบาล</t>
  </si>
  <si>
    <t>ข. รายได้จากกรมการปกครอง</t>
  </si>
  <si>
    <t>เจ้าหน้าที่การเงินและบัญชี</t>
  </si>
  <si>
    <t>…………………………………..</t>
  </si>
  <si>
    <t>……………………………….</t>
  </si>
  <si>
    <t xml:space="preserve">            นายกเทศมนตรี</t>
  </si>
  <si>
    <t xml:space="preserve">             ……………………………………</t>
  </si>
  <si>
    <t xml:space="preserve">                             ปลัดเทศบาล</t>
  </si>
  <si>
    <t>จ่ายขาดเงินสะสม</t>
  </si>
  <si>
    <t>คงเหลือ</t>
  </si>
  <si>
    <t>หมายเหตุ</t>
  </si>
  <si>
    <t>ค่าครุภัณฑ์</t>
  </si>
  <si>
    <t>ค่าที่ดินและสิ่งก่อสร้าง</t>
  </si>
  <si>
    <t>ยืมเงินสะสม</t>
  </si>
  <si>
    <t>เงินฝากคลังจังหวัด (อำเภอ) ทุ่งสง</t>
  </si>
  <si>
    <t>งานเทศกิจ</t>
  </si>
  <si>
    <t>รายจ่ายอื่น</t>
  </si>
  <si>
    <t>งานไฟฟ้าถนน</t>
  </si>
  <si>
    <t>งานสวนสาธารณะ</t>
  </si>
  <si>
    <t>บริหารทั่วไป</t>
  </si>
  <si>
    <t xml:space="preserve">     2. อาคาร</t>
  </si>
  <si>
    <t>รับเพิ่มงวดนี้</t>
  </si>
  <si>
    <t>3. เครื่องใช้สำนักงาน</t>
  </si>
  <si>
    <t>ส่งใช้เงินยืมเงินสะสม</t>
  </si>
  <si>
    <t>สาธารณสุข</t>
  </si>
  <si>
    <t>2. เครื่องมือเครื่องใช้และอุปกรณ์</t>
  </si>
  <si>
    <t>23755-6</t>
  </si>
  <si>
    <t>28821-4</t>
  </si>
  <si>
    <t>01496-8</t>
  </si>
  <si>
    <t xml:space="preserve"> -  กรุงไทย ประเภทกระแสรายวัน</t>
  </si>
  <si>
    <t>เงินฝากคลังจังหวัด</t>
  </si>
  <si>
    <t>เงินสะสม  1  ตุลาคม  2545</t>
  </si>
  <si>
    <t>1. ยานพาหนะและขนส่ง</t>
  </si>
  <si>
    <t xml:space="preserve">        หมายเหตุ  8</t>
  </si>
  <si>
    <t>สังคมสงเคราะห์</t>
  </si>
  <si>
    <t>งานศึกษาไม่กำหนดระดับ</t>
  </si>
  <si>
    <t>รับคืนเงินสะสม (ค่าใช้สอย)</t>
  </si>
  <si>
    <t xml:space="preserve"> รับจริงสูงกว่าจ่ายจริง = รายรับทั้งสิ้น - ค่าใช้จ่าย </t>
  </si>
  <si>
    <t xml:space="preserve">                               = 7,101,002.97 - 5,542,598.19</t>
  </si>
  <si>
    <t xml:space="preserve">                               = 1,558,404.78</t>
  </si>
  <si>
    <t>ณ  วันที่  30  พฤษภาคม  2546</t>
  </si>
  <si>
    <t>เงินสะสม  30  พฤษภาคม   2546</t>
  </si>
  <si>
    <t>เงินสะสม  30  พฤษภาคม  2546  ประกอบด้วย</t>
  </si>
  <si>
    <t>การศึกษา</t>
  </si>
  <si>
    <t>งานบริหารทั่วไปเกี่ยวกับการศึกษา</t>
  </si>
  <si>
    <t xml:space="preserve">          ก. ในการดับเพลิง</t>
  </si>
  <si>
    <t xml:space="preserve">          ข. ในการรักษาความสะอาด</t>
  </si>
  <si>
    <t xml:space="preserve">          ค. ในการประชาสัมพันธ์</t>
  </si>
  <si>
    <t xml:space="preserve">          ง. ประเภททั่วไป</t>
  </si>
  <si>
    <t>เงินทุนเงินสำรองเงินสะสม</t>
  </si>
  <si>
    <t>งานกำจัดขยะมูลฝอยและสิ่งปฏิกูล</t>
  </si>
  <si>
    <t>เคหะและชุมชน</t>
  </si>
  <si>
    <t>การรักษาความสงบภายใน</t>
  </si>
  <si>
    <t>บริหารงานทั่วไป</t>
  </si>
  <si>
    <t xml:space="preserve">     4. อาคารดับเพลิง</t>
  </si>
  <si>
    <t xml:space="preserve">     3. ตลาดสดเทศบาล</t>
  </si>
  <si>
    <t xml:space="preserve">     5. โรงเก็บรถดับเพลิง</t>
  </si>
  <si>
    <t xml:space="preserve">     6. เตาเผาขยะ</t>
  </si>
  <si>
    <t xml:space="preserve">     7. ลานเอนกประสงค์ 100 ปีสมเด็จย่า</t>
  </si>
  <si>
    <t xml:space="preserve">     8. ป้ายเขตเทศบาล</t>
  </si>
  <si>
    <t xml:space="preserve">     9. รั้วพร้อมป้ายสำนักงานและเสาธง</t>
  </si>
  <si>
    <t xml:space="preserve">   10. โรงจอดรถ</t>
  </si>
  <si>
    <t xml:space="preserve">    1. ครุภัณฑ์ยานพาหนะและขนส่ง</t>
  </si>
  <si>
    <t xml:space="preserve">          ง.  อื่นๆ</t>
  </si>
  <si>
    <t xml:space="preserve">    3. ครุภัณฑ์สำนักงาน</t>
  </si>
  <si>
    <t xml:space="preserve">    4. ครุภัณฑ์สำรวจ</t>
  </si>
  <si>
    <t>ข. เงินกู้ ก.ส.ท.</t>
  </si>
  <si>
    <t>ค. รับจากกรมการปกครอง</t>
  </si>
  <si>
    <t>ง. เงินที่มีผู้อุทิศให้</t>
  </si>
  <si>
    <t>จ. รับจากกรมปศุสัตว์</t>
  </si>
  <si>
    <t>ณ  วันที่  30  กันยายน  2551</t>
  </si>
  <si>
    <t>งบทรัพย์สิน  (เพิ่มขึ้น)</t>
  </si>
  <si>
    <t>งบรายละเอียดทรัพย์สิน  (เพิ่มขึ้น)</t>
  </si>
  <si>
    <t>รหัสบัญชี</t>
  </si>
  <si>
    <t>เดบิท</t>
  </si>
  <si>
    <t>เครดิต</t>
  </si>
  <si>
    <t>เงินฝากธนาคาร  ประเภทกระแสรายวัน</t>
  </si>
  <si>
    <t>เงินฝากธนาคาร  ประเภทออมทรัพย์</t>
  </si>
  <si>
    <t>เงินฝากธนาคาร  ประเภทประจำ</t>
  </si>
  <si>
    <t>ลูกหนี้ภาษีบำรุงท้องที่</t>
  </si>
  <si>
    <t>เงินสะสม</t>
  </si>
  <si>
    <t>เงินฝากกองทุนส่งเสริมกิจการเทศบาล</t>
  </si>
  <si>
    <t>ลูกหนี้ภาษีโรงเรือนและที่ดิน</t>
  </si>
  <si>
    <t>งานบริหารทั่วไปเกี่ยวกับสาธารณสุข</t>
  </si>
  <si>
    <t>งานกีฬาและนันทนาการ</t>
  </si>
  <si>
    <t xml:space="preserve"> -  ออมสิน  ประเภทประจำ</t>
  </si>
  <si>
    <t>ปลัดเทศบาล</t>
  </si>
  <si>
    <t>นายกเทศมนตรีตำบลท่ายาง</t>
  </si>
  <si>
    <t xml:space="preserve">    5. ครุภัณฑ์ก่อสร้าง</t>
  </si>
  <si>
    <t>กระดาษทำการประกอบงบทรัพย์สิน</t>
  </si>
  <si>
    <t>เพิ่มขึ้น</t>
  </si>
  <si>
    <t>จำหน่าย</t>
  </si>
  <si>
    <t>กระดาษทำการประกอบที่มาของทรัพย์สินของงบทรัพย์สิน</t>
  </si>
  <si>
    <t>รายละเอียดทรัพย์สินที่เพิ่มขึ้น</t>
  </si>
  <si>
    <t>ลำดับ</t>
  </si>
  <si>
    <t>ประเภท</t>
  </si>
  <si>
    <t>จ่ายจาก</t>
  </si>
  <si>
    <t>จำนวน</t>
  </si>
  <si>
    <t>เลขที่ฎีกา</t>
  </si>
  <si>
    <t>วันที่ตามฏีกา</t>
  </si>
  <si>
    <t>ลูกหนี้เงินยืมเงินสะสม</t>
  </si>
  <si>
    <t>ทรัพย์สินเกิดจากเงินกู้ก.ส.ท.-อาคารสำนักงาน</t>
  </si>
  <si>
    <t>เจ้าหนี้เงินกู้-เงินกู้ ก.ส.ท.</t>
  </si>
  <si>
    <t>เงินรายรับ (หมายเหตุ 1)</t>
  </si>
  <si>
    <t>เงินเดือน (ฝ่ายการเมือง)</t>
  </si>
  <si>
    <t>เงินเดือน (ฝ่ายประจำ)</t>
  </si>
  <si>
    <t>เงินทุนสำรองเงินสะสม</t>
  </si>
  <si>
    <t>......................................................</t>
  </si>
  <si>
    <t>..................................................</t>
  </si>
  <si>
    <t>รายงานรายจ่ายในการดำเนินงานที่จ่ายจากเงินรายรับตามแผนงานบริหารทั่วไป</t>
  </si>
  <si>
    <t>งานบำบัดน้ำเสีย</t>
  </si>
  <si>
    <t>งานบริหารทั่วไปเกี่ยวกับเคหะและชุมชน</t>
  </si>
  <si>
    <t>รวมทั้งสิ้น</t>
  </si>
  <si>
    <t>เงินต้นค้างชำระ</t>
  </si>
  <si>
    <t>ปีที่สิ้นสุดสัญญา</t>
  </si>
  <si>
    <t>เงินทุนส่งเสริมกิจการเทศบาล</t>
  </si>
  <si>
    <t>703/26/2553</t>
  </si>
  <si>
    <t>รายงานรายจ่ายในการดำเนินงานที่จ่ายจากเงินรายรับตามแผนงานงบกลาง</t>
  </si>
  <si>
    <t xml:space="preserve">    6. ครุภัณฑ์โรงฆ่าสัตว์</t>
  </si>
  <si>
    <t xml:space="preserve">    8. ครุภัณฑ์อื่นๆ</t>
  </si>
  <si>
    <t>เทศบาลตำบลท่ายาง  อำเภอทุ่งใหญ่ จังหวัดนครศรีธรรมราช</t>
  </si>
  <si>
    <t>รายละเอียดลูกหนี้ค่าบริการทำความสะอาดตลาดสดเทศบาล</t>
  </si>
  <si>
    <t xml:space="preserve">ลำดับที่ </t>
  </si>
  <si>
    <t>ชื่อ - สกุล</t>
  </si>
  <si>
    <t>จำนวนเงิน/เดือน</t>
  </si>
  <si>
    <t>รวมเป็นเงินทั้งสิ้น</t>
  </si>
  <si>
    <t>นายอภิชา  กิจบาลจ่าย</t>
  </si>
  <si>
    <t>ปีงบประมาณ</t>
  </si>
  <si>
    <t>ต.ค. 53 - พ.ย. 53</t>
  </si>
  <si>
    <t xml:space="preserve">    7. ครุภัณฑ์งานบ้านงานครัว</t>
  </si>
  <si>
    <t>ลูกหนี้ภาษีบำรุงป้าย</t>
  </si>
  <si>
    <t>ผู้อำนวยการกองคลัง</t>
  </si>
  <si>
    <t xml:space="preserve">   11. ลานกีฬา</t>
  </si>
  <si>
    <t xml:space="preserve">    9. ครุภัณฑ์คอมพิวเตอร์</t>
  </si>
  <si>
    <t xml:space="preserve">    10. ครุภัณฑ์โฆษณาและสื่อสาร</t>
  </si>
  <si>
    <t xml:space="preserve">    11. ครุภัณฑ์ไฟฟ้าและวิทยุ</t>
  </si>
  <si>
    <t>วันที่ได้มา</t>
  </si>
  <si>
    <t xml:space="preserve"> -  กรุงไทย ประเภทออมทรัพย์</t>
  </si>
  <si>
    <t>เลขที่</t>
  </si>
  <si>
    <t>งบทดลอง  (ก่อนปิดบัญชี)</t>
  </si>
  <si>
    <t>งบทดลอง  (หลังปิดบัญชี)</t>
  </si>
  <si>
    <t>ค่าใช้จ่ายจากการจัดเก็บภาษีบำรุงท้องที่ 5%</t>
  </si>
  <si>
    <t>ภาษีหัก ณ ที่จ่าย</t>
  </si>
  <si>
    <t>รายรับจริงสูงกว่ารายจ่ายจริง</t>
  </si>
  <si>
    <r>
      <t>หัก</t>
    </r>
    <r>
      <rPr>
        <sz val="16"/>
        <rFont val="TH SarabunPSK"/>
        <family val="2"/>
      </rPr>
      <t xml:space="preserve">  25% ของรายรับจริงสูงกว่ารายจ่ายจริง </t>
    </r>
  </si>
  <si>
    <t xml:space="preserve">        (เงินทุนสำรองเงินสะสม)</t>
  </si>
  <si>
    <t>รายรับจริงสูงกว่ารายจ่ายจริงหลังหักเงินทุนสำรองเงินสะสม</t>
  </si>
  <si>
    <t>ปรับปรุงรายการชำระหนี้เงินกู้ กสท.</t>
  </si>
  <si>
    <t>5.  เงินสะสมที่สามารถนำไปใช้ได้</t>
  </si>
  <si>
    <t>รายได้เทศบาล</t>
  </si>
  <si>
    <t>ครุภัณฑ์สำนักงาน</t>
  </si>
  <si>
    <t>ครุภัณฑ์คอมพิวเตอร์</t>
  </si>
  <si>
    <t>(นางสาวปวีณา พัฒนะจำรูญ)</t>
  </si>
  <si>
    <t>(นายชัยธิศักดิ์ อำลอย)</t>
  </si>
  <si>
    <t>05-504-001496-5</t>
  </si>
  <si>
    <t>30-000-005814-3</t>
  </si>
  <si>
    <t>615-2-23755-6</t>
  </si>
  <si>
    <t>615-4-01351-2</t>
  </si>
  <si>
    <t>801-6-05637-7</t>
  </si>
  <si>
    <t>981-6-50858-3</t>
  </si>
  <si>
    <t xml:space="preserve">   12. อาคารจอดรถ (สำนักงานใหม่)</t>
  </si>
  <si>
    <t xml:space="preserve">   13. รั้วสถานที่ทิ้งขยะเทศบาล</t>
  </si>
  <si>
    <t xml:space="preserve">   14. ป้าย</t>
  </si>
  <si>
    <t>ประเภททรัพย์สิน</t>
  </si>
  <si>
    <t xml:space="preserve"> ปรับปรุง</t>
  </si>
  <si>
    <t>ปรับปรุง</t>
  </si>
  <si>
    <t>ลูกหนี้เงินยืม</t>
  </si>
  <si>
    <t>เจ้าหนี้เงินสะสม</t>
  </si>
  <si>
    <t>ลูกหนี้เงินสะสม</t>
  </si>
  <si>
    <t>ลูกหนี้รายได้อื่นๆ</t>
  </si>
  <si>
    <t>รายจ่ายค้างจ่าย (หมายเหตุ 2)</t>
  </si>
  <si>
    <t>เงินรับฝาก (หมายเหตุ 4)</t>
  </si>
  <si>
    <t>ลูกหนี้ภาษีป้าย</t>
  </si>
  <si>
    <t>(นายนพดล กรดเสือ)</t>
  </si>
  <si>
    <t>หมายเหตุประกอบงบแสดงฐานะการเงิน</t>
  </si>
  <si>
    <t>หมายเหตุ 3  เงินสดและเงินฝากธนาคาร</t>
  </si>
  <si>
    <t>โครงการ</t>
  </si>
  <si>
    <t>หมายเหตุ 4  รายได้คจากรัฐบาลค้างรับ</t>
  </si>
  <si>
    <t>ประเภทลูกหนี้</t>
  </si>
  <si>
    <t>ประจำปี</t>
  </si>
  <si>
    <t>จำนวนราย</t>
  </si>
  <si>
    <t>หมายเหตุ 6  ลูกหนี้รายได้อื่นๆ</t>
  </si>
  <si>
    <t>ลูกหนี้ค่าบริการทำความสะอาดตลาดสดเทศบาล</t>
  </si>
  <si>
    <t>ลูกหนี้ค่าเช่าโรงฆ่าสัตว์</t>
  </si>
  <si>
    <t>หมายเหตุ 7  ลูกหนี้อื่นๆ</t>
  </si>
  <si>
    <t>หมายเหตุ 8  สินทรัพย์หมุนเวียนอื่น</t>
  </si>
  <si>
    <t>หมายเหตุ 9  สินทรัพย์ไม่หมุนเวียนอื่น</t>
  </si>
  <si>
    <t>หมายเหตุ 10 รายจ่ายค้างจ่าย</t>
  </si>
  <si>
    <t>แหล่งเงิน</t>
  </si>
  <si>
    <t>แผนงาน</t>
  </si>
  <si>
    <t>งาน</t>
  </si>
  <si>
    <t>หมวด</t>
  </si>
  <si>
    <t>งานบริหารทั่วไป</t>
  </si>
  <si>
    <t>ค่าตอบแทนผู้ปฏิบัติราชการอันเป็นประโยชน์แก่องค์กรปกครองส่วนท้องถิ่น</t>
  </si>
  <si>
    <t>เงินงบประมาณ</t>
  </si>
  <si>
    <t>หมายเหตุ 10 ฎีกาค้างจ่าย</t>
  </si>
  <si>
    <t>เลขที่ผู้เบิก</t>
  </si>
  <si>
    <t>หมายเหตุ 12  เงินรับฝาก</t>
  </si>
  <si>
    <t>ประกันสัญญาเช่า</t>
  </si>
  <si>
    <t>อื่นๆ</t>
  </si>
  <si>
    <t>หมายเหตุ 13  หนี้สินหมุนเวียนอื่น</t>
  </si>
  <si>
    <t>หมายเหตุ 14 เจ้าหนี้เงินกู้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</si>
  <si>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</si>
  <si>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</si>
  <si>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</si>
  <si>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</si>
  <si>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ลงวันที่</t>
  </si>
  <si>
    <t>โครงก่อสร้างอาคารสำนักงานเทศบาลตำบลท่ายาง</t>
  </si>
  <si>
    <t>หมายเหตุ 15  หนี้สินหมุนเวียนอื่น</t>
  </si>
  <si>
    <t>รายจ่ายค้างจ่ายที่เหลือจ่าย</t>
  </si>
  <si>
    <t>ปรับปรุงลูกหนี้ภาษีบำรุงท้องที่</t>
  </si>
  <si>
    <t>3. ลูกหนี้รายได้อื่นๆ</t>
  </si>
  <si>
    <t>4. ทรัพย์สินเกิดจากเงินกู้ที่ชำระหนี้แล้ว</t>
  </si>
  <si>
    <t xml:space="preserve">    (ผลต่างระหว่างทรัพย์สินเกิดจากเงินกู้และเจ้าหนี้เงินกู้)</t>
  </si>
  <si>
    <t>หมายเหตุ 16  เงินสะสม</t>
  </si>
  <si>
    <t>ตั้งแต่วันที่ 1 ตุลาคม 2557 ถึงวันที่ 30 กันยายน 2558</t>
  </si>
  <si>
    <t>งบ</t>
  </si>
  <si>
    <t>งบบุคลากร</t>
  </si>
  <si>
    <t>งบดำเนินการ</t>
  </si>
  <si>
    <t>งบลงทุน</t>
  </si>
  <si>
    <t>งบรายจ่ายอื่น</t>
  </si>
  <si>
    <t>งบเงินอุดหนุน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</si>
  <si>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</si>
  <si>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</si>
  <si>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รายงานรายจ่ายในการดำเนินงานที่จ่ายจากเงินรายรับตามแผนงานการรักษาความสงบภายใน</t>
  </si>
  <si>
    <t>งานป้องกันภัยฝ่ายพลเรือนและระงับอัคคีภัย</t>
  </si>
  <si>
    <t>รายงานรายจ่ายในการดำเนินงานที่จ่ายจากเงินรายรับตามแผนงานการศึกษา</t>
  </si>
  <si>
    <t>งานบริหารทั่วไปเกี่ยวกับการรักษาความสงบภายใน</t>
  </si>
  <si>
    <t>งานระดับก่อนวัยเรียนและประถมศึกษา</t>
  </si>
  <si>
    <t>งานระดับมัธยมศึกษา</t>
  </si>
  <si>
    <t>รายงานรายจ่ายในการดำเนินงานที่จ่ายจากเงินรายรับตามแผนงานสาธารณสุข</t>
  </si>
  <si>
    <t>งานโรงพยาบาล</t>
  </si>
  <si>
    <t>งานบริการสาธารณสุขและงานสาธารณสุข</t>
  </si>
  <si>
    <t>งานศูนย์บริการสาธารณสุข</t>
  </si>
  <si>
    <t>งานบริหารทั่วไปเกี่ยวกับสังคมสงเคราะห์</t>
  </si>
  <si>
    <t>รายงานรายจ่ายในการดำเนินงานที่จ่ายจากเงินรายรับตามแผนงานสังคมสงเคราะห์</t>
  </si>
  <si>
    <t>งานสวัสดิการสังคมและสังคมสงเคราะห์</t>
  </si>
  <si>
    <t>งานส่งเสริมและสนับสนุนความเข้มแข็งชุมชน</t>
  </si>
  <si>
    <t>รายงานรายจ่ายในการดำเนินงานที่จ่ายจากเงินรายรับตามแผนงานการศาสนาวัฒนธรรมและนันทนาการ</t>
  </si>
  <si>
    <t>งานบริหารทั่วไปเกี่ยวกับศาสนาวัฒนธรรมและนันทนาการ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</si>
  <si>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</si>
  <si>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</si>
  <si>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รายงานรายจ่ายในการดำเนินงานที่จ่ายจากเงินรายรับตามแผนงานอุตสาหกรรมและการโยธา</t>
  </si>
  <si>
    <t>งานบริหารทั่วไปเกี่ยวกับอุตสาหกรรมและการโยธา</t>
  </si>
  <si>
    <t>งานก่อสร้างโครงสร้างพื้นฐาน</t>
  </si>
  <si>
    <t>รายงานรายจ่ายในการดำเนินงานที่จ่ายจากเงินรายรับตามแผนงานการเกษตร</t>
  </si>
  <si>
    <t>งานส่งเสริมการเกษตร</t>
  </si>
  <si>
    <t>งานอนุรักษ์แหล่งน้ำและป่าไม้</t>
  </si>
  <si>
    <t>รายงานรายจ่ายในการดำเนินงานที่จ่ายจากเงินรายรับตามแผนงานการพาณิชย์</t>
  </si>
  <si>
    <t>การศาสนาวัฒนธรรมและท้องถิ่น</t>
  </si>
  <si>
    <t>อุตสาหกรรมและการโยธา</t>
  </si>
  <si>
    <t>การเกษตร</t>
  </si>
  <si>
    <t>เงินอุดหนุนระบุวัตถุประสงค์/เฉพาะกิจ</t>
  </si>
  <si>
    <t>รายงานรายจ่ายในการดำเนินงานที่จ่ายจากเงินรายรับตามแผนงานรวม</t>
  </si>
  <si>
    <t>รายงานรายจ่ายในการดำเนินงานที่จ่ายจากเงินสะสม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</si>
  <si>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</si>
  <si>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</si>
  <si>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หมวดภาษีอากร</t>
  </si>
  <si>
    <t>หมวดค่าธรรเนียมค่าปรับและใบอนุญาต</t>
  </si>
  <si>
    <t>หมวดรายได้จากค่าสาธารณูปโภคและการพาณิชย์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</si>
  <si>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</si>
  <si>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</si>
  <si>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</si>
  <si>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</si>
  <si>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หมวดเงินอุดหนุนระบุวัตถุประสงค์/เฉพาะกิจ</t>
  </si>
  <si>
    <t>หมวดรายได้จากทรัพย์สิน</t>
  </si>
  <si>
    <t>รายรับสูงกว่าหรือ(ต่ำกว่า)รายจ่าย</t>
  </si>
  <si>
    <t>งบแสดงผลการดำเนินงานจ่ายจากเงินรายรับ</t>
  </si>
  <si>
    <t>งบแสดงผลการดำเนินงานจ่ายจากเงินรายรับและเงินสะสม</t>
  </si>
  <si>
    <t>งบแสดงผลการดำเนินงานจ่ายจากเงินรายรับ เงินสะสมและเงินทุนสำรองเงินสะสม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</si>
  <si>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เงินทุนสำรองเงินสะสมและเงินกู้</t>
  </si>
  <si>
    <t>ทรัพย์สินตามงบทรัพย์สิน</t>
  </si>
  <si>
    <t>สินทรัพย์</t>
  </si>
  <si>
    <t>สินทรัพย์หมุนเวียน</t>
  </si>
  <si>
    <t>เงินสด  เงินฝากธนาคารและเงินฝากคลังจังหวัด</t>
  </si>
  <si>
    <t>ลูกหนี้ค่าภาษี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</si>
  <si>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</si>
  <si>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</si>
  <si>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</si>
  <si>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</si>
  <si>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หนี้สิน</t>
  </si>
  <si>
    <t>หนี้สินหมุนเวียน</t>
  </si>
  <si>
    <t>หนี้สินไม่หมุนเวียน</t>
  </si>
  <si>
    <t>รวมหนี้สินหมุนเวียน</t>
  </si>
  <si>
    <t>รวมหนี้สินไม่หมุนเวียน</t>
  </si>
  <si>
    <t>รวมเงินสะสม</t>
  </si>
  <si>
    <t>รวมหนี้สินและเงินสะสม</t>
  </si>
  <si>
    <t>หมายเหตุประกอบงบการเงินเป็นส่วนหนึ่งของงบการเงินนี้</t>
  </si>
  <si>
    <t>จัดซื้อเครื่องพิมพ์ชนิดเลเซอร์</t>
  </si>
  <si>
    <t>ค่าจัดซื้อโต๊ะ-เก้าอี้ทำงาน</t>
  </si>
  <si>
    <t>จัดซื้อคอมพิวเตอร์แบบพกพา</t>
  </si>
  <si>
    <t>ครุภัณฑ์ยานพาหนะและขนส่ง</t>
  </si>
  <si>
    <t>ครุภัณฑ์ไฟฟ้าและวิทยุ</t>
  </si>
  <si>
    <t xml:space="preserve">   15. บ้านพักข้าราชการ</t>
  </si>
  <si>
    <t xml:space="preserve">   16. โรงเก็บพัสดุ</t>
  </si>
  <si>
    <t>ฉ. รับจากองค์การบริหารส่วน</t>
  </si>
  <si>
    <t xml:space="preserve">    จังหวัดนครศรีธรรมราช</t>
  </si>
  <si>
    <t xml:space="preserve">   12. บ้านพักข้าราชการ</t>
  </si>
  <si>
    <t xml:space="preserve">   13. โรงเก็บพัสดุ</t>
  </si>
  <si>
    <t>ฉ. รับจากองค์การบริหารส่วนจังหวัด</t>
  </si>
  <si>
    <t xml:space="preserve">    นครศรีธรรมราช</t>
  </si>
  <si>
    <t>(นายนพดล  กรดเสือ)</t>
  </si>
  <si>
    <t>หมายเหตุ 2 งบทรัพย์สิน</t>
  </si>
  <si>
    <t>แหล่งที่มาของทรัพย์สินทั้งหมด</t>
  </si>
  <si>
    <t xml:space="preserve">ทุนทรัพย์สิน </t>
  </si>
  <si>
    <t xml:space="preserve">รายจ่ายค้างจ่าย </t>
  </si>
  <si>
    <t xml:space="preserve">เงินรับฝากต่าง ๆ </t>
  </si>
  <si>
    <t>เจ้าหนี้เงินกู้-เงินกู้ก.ส.ท.</t>
  </si>
  <si>
    <t xml:space="preserve">เงินสะสม  </t>
  </si>
  <si>
    <t xml:space="preserve">ค่าครุภัณฑ์  </t>
  </si>
  <si>
    <t>สร้างความเข้มแข็งของชุมชน</t>
  </si>
  <si>
    <t>รายงานรายจ่ายในการดำเนินงานที่จ่ายจากเงินรายรับตามแผนงานสร้างความเข้มแข็งของชุมชน</t>
  </si>
  <si>
    <t>งานบริหารทั่วไปเกี่ยวกับการสร้างความเข้มแข็งของชุมชน</t>
  </si>
  <si>
    <t>หมายเหตุ 5  ลูกหนี้ค่าภาษี</t>
  </si>
  <si>
    <t>รายจ่ายผัดส่งใบสำคัญ</t>
  </si>
  <si>
    <t>ณ  วันที่  30 กันยายน  2559</t>
  </si>
  <si>
    <t>รายจ่ายเกี่ยวเนื่องกับการปฏิบัติราชการไม่เข้าลักษณะรายจ่ายหมวดอื่นๆ</t>
  </si>
  <si>
    <t>สนับสนุนค่าใช้จ่ายในการบริหารสถานศึกษา</t>
  </si>
  <si>
    <t>โครงการจัดงานวันสาร์ทเดือนสิบ</t>
  </si>
  <si>
    <t>การศาสนาวัฒนธรรมและนันทนาการ</t>
  </si>
  <si>
    <t>งานศาสนาวัฒนธรรมท้องถิ่น</t>
  </si>
  <si>
    <t>เงินอุดหนุนทั่วไประบุวัตถุประสงค์</t>
  </si>
  <si>
    <t>เบี้ยยังชีพผู้สูงอายุ</t>
  </si>
  <si>
    <t>เบี้ยยังชีพคนพิการ</t>
  </si>
  <si>
    <t>เงินสะสม  1  ตุลาคม  2558</t>
  </si>
  <si>
    <t>เงินสะสม  30 กันยายน  2559</t>
  </si>
  <si>
    <t>เงินสะสม  30  กันยายน  2559  ประกอบด้วย</t>
  </si>
  <si>
    <t>ปรับปรุงรายรับไม่ทราบที่มาเข้าบัญชีเงินสะสม</t>
  </si>
  <si>
    <t>ปรับปรุงเงินรับฝากเข้าบัญชีเงินสะสม</t>
  </si>
  <si>
    <t>ปรับปรุงเช็คที่ผู้รับเงินไม่มาเปลี่ยนเช็ค</t>
  </si>
  <si>
    <t>รับคืนเงินรายจ่ายตามงบประมาณปี 2558</t>
  </si>
  <si>
    <t>ปรับปรุงตั้งลูกหนี้รายได้อื่นๆ ปี 2557 ผิดพลาด</t>
  </si>
  <si>
    <t>ตั้งแต่วันที่ 1 ตุลาคม 2558 ถึงวันที่ 30 กันยายน 2559</t>
  </si>
  <si>
    <t>ค่าจัดซื้อเครื่องตัดแต่งต้นไม้</t>
  </si>
  <si>
    <t>จัดซื้อเครื่องคอมพิวเตอร์แบบพกพา</t>
  </si>
  <si>
    <t>จัดซื้อเครื่องพริ้นเตอร์เลเซอร์สำหรับกระดาษ A3</t>
  </si>
  <si>
    <t>ค่าจัดซื้อคอมพิวเตอร์แบบพกพา</t>
  </si>
  <si>
    <t>ค่าจัดซื้อเครื่องคอมพิวเตอร์ตั้งโต๊ะ พร้อมอุปกรณ์</t>
  </si>
  <si>
    <t>ค่าจัดซื้อเครื่องคอมพิวเตอร์พร้อมอุปกรณ์ประกอบ</t>
  </si>
  <si>
    <t>จัดซื้อกล้องถ่ายภาพนิ่ง ระบบดิจิตอล</t>
  </si>
  <si>
    <t>จัดซื้อเครื่องบันทึกเสียง</t>
  </si>
  <si>
    <t>ค่าจัดซื้อเครื่องเสียง พร้อมอุปกรณ์</t>
  </si>
  <si>
    <t>ค่าขยายเขตเสียงตามสายแบบไร้สาย</t>
  </si>
  <si>
    <t>ปรับปรุงครุภัณฑ์รถตู้</t>
  </si>
  <si>
    <t>ค่าจัดซื้อเครื่องพ่นหมอกควันและพ่นละอองฝอย</t>
  </si>
  <si>
    <t>จัดซื้อเครื่องปรับอากาศ</t>
  </si>
  <si>
    <t>จัดซื้อเครื่องสแกนลายนิ้วมือ</t>
  </si>
  <si>
    <t>จัดซื้อโต๊ะ - เก้าอี้ทำงาน</t>
  </si>
  <si>
    <t>จัดซื้อโต๊ะ - เก้าอี้ทำงาน สำหรับผู้บริหาร</t>
  </si>
  <si>
    <t>จัดซื้อแท่นอ่านหนังสือ</t>
  </si>
  <si>
    <t>ค่าจัดซื้อเก้าอี้พลาสติกมีพนักพิง</t>
  </si>
  <si>
    <t>ค่าจัดซื้อชั้นวางกระเป๋าสำหรับเด็กอนุบาล</t>
  </si>
  <si>
    <t>ค่าจัดซื้อชั้นวางของและอุปกรณ์ในห้องเรียน</t>
  </si>
  <si>
    <t>ค่าจัดซื้อชั้นวางรองเท้าเด็ก</t>
  </si>
  <si>
    <t>ค่าจัดซื้อโต๊ะกิจกรรมสำหรับเด็กอนุบาล</t>
  </si>
  <si>
    <t>ค่าจัดซื้อโต๊ะ-เก้าอี้ เอนกประสงค์ (โต๊ะเก้าอี้อาหารเด็ก)</t>
  </si>
  <si>
    <t>ค่าจัดซื้อโทรศัพท์เคลื่อนที่</t>
  </si>
  <si>
    <t>ค่าจัดซื้อเทปวัดระยะ</t>
  </si>
  <si>
    <t>ค่าจัดซื้อไม้ STAFF</t>
  </si>
  <si>
    <t>ค่าจัดซื้อเลื่อยยนต์</t>
  </si>
  <si>
    <t>ครุภัณฑ์การเกษตร</t>
  </si>
  <si>
    <t>ครุภัณฑ์โฆษณาและเผยแพร่</t>
  </si>
  <si>
    <t>ครุภัณฑ์วิทยาศาสตร์หรือการแพทย์</t>
  </si>
  <si>
    <t>ครุภัณฑ์สำรวจ</t>
  </si>
  <si>
    <t>ครุภัณฑ์อื่น</t>
  </si>
  <si>
    <t>จัดทำป้ายประชาสัมพันธ์เทศบาลตำบลท่ายาง</t>
  </si>
  <si>
    <t>จัดทำผังบุคลากรเทศบาลตำบลท่ายาง</t>
  </si>
  <si>
    <t>ติดตั้งเคาน์เตอร์ประชาสัมพันธ์เทศบาลตำบลท่ายาง</t>
  </si>
  <si>
    <t>ปรับปรุงห้องประชุมใหญ่</t>
  </si>
  <si>
    <t>โครงการก่อสร้างศูนย์พัฒนาเด็กเล็กเทศบาลตำบลท่ายาง</t>
  </si>
  <si>
    <t>ค่าก่อสร้างสิ่งสาธารณูปการ</t>
  </si>
  <si>
    <t>อาคารต่าง ๆ</t>
  </si>
  <si>
    <t>เทศบาลตำบลท่ายาง ตำบลท่ายาง อำเภอทุ่งใหญ่ จังหวัดนครศรีธรรมราช</t>
  </si>
  <si>
    <t>รายการพัสดุครุภัณฑ์ที่ชำรุด เสื่อมสภาพ และไม่จำเป็นต้องใช้ในราชการต่อไป ของปีงบประมาณ 2557 - 2558  จำหน่ายประจำปีงบประมาณ 2559</t>
  </si>
  <si>
    <t>ที่</t>
  </si>
  <si>
    <t>วันที่ตรวจรับ/วันที่ได้มา</t>
  </si>
  <si>
    <t>รหัสครุภัณฑ์</t>
  </si>
  <si>
    <t>ประเภทครุภัณฑ์</t>
  </si>
  <si>
    <t>ยี่ห้อชนิดแบบ ขนาดและลักษณะ</t>
  </si>
  <si>
    <t>มูลค่าที่ได้มา</t>
  </si>
  <si>
    <t>28 มิ.ย. 55</t>
  </si>
  <si>
    <t>401-55-0267</t>
  </si>
  <si>
    <t>เก้าอี้คอมพิวเตอร์</t>
  </si>
  <si>
    <t>เก้าอี้ บุนวม มีล้อหมุน มีพนักพิง</t>
  </si>
  <si>
    <t>จำหน่ายปี 2558</t>
  </si>
  <si>
    <t>25 มี.ค. 45</t>
  </si>
  <si>
    <t>462-45-0002</t>
  </si>
  <si>
    <t>เครื่อข่ายไร้สาย</t>
  </si>
  <si>
    <t>มีตัวลูกจำนวน 7 จุดพร้อมเครื่องรับ</t>
  </si>
  <si>
    <t>เครื่องมือเครื่องใช้ในการประชาสัมพันธ์</t>
  </si>
  <si>
    <t>8 เม.ย. 45</t>
  </si>
  <si>
    <t>461-45-0002</t>
  </si>
  <si>
    <t>เครื่องบันทึกเสียงด้วยตลับเทป</t>
  </si>
  <si>
    <t>NPE  รุ่น 500 SL</t>
  </si>
  <si>
    <t>17 มิ.ย. 51</t>
  </si>
  <si>
    <t>452-51-0005</t>
  </si>
  <si>
    <t>กล้องถ่ายรูปดิจิตอล</t>
  </si>
  <si>
    <t>Sony สีชมพู</t>
  </si>
  <si>
    <t>19 พ.ย. 47</t>
  </si>
  <si>
    <t>452-48-0002</t>
  </si>
  <si>
    <t xml:space="preserve">กล้องถ่ายวีดีโอพร้อมเครื่องเล่น DVD </t>
  </si>
  <si>
    <t>Sony</t>
  </si>
  <si>
    <t>จำหน่ายปี 2557</t>
  </si>
  <si>
    <t>10 มี.ค. 32</t>
  </si>
  <si>
    <t>400-32-0003</t>
  </si>
  <si>
    <t>โต๊ะทำงานข้าราชการ 1-3</t>
  </si>
  <si>
    <t>โต๊ะไม้อัด โครงเหล็ก</t>
  </si>
  <si>
    <t>400-32-0004</t>
  </si>
  <si>
    <t>20 พ.ค. 35</t>
  </si>
  <si>
    <t>418-35-0001</t>
  </si>
  <si>
    <t>เครื่องอัดสำเนา</t>
  </si>
  <si>
    <t>เก็ตเน็ตเตอร์ รุ่น 4030 สีน้ำตาล</t>
  </si>
  <si>
    <t>11 ส.ค. 35</t>
  </si>
  <si>
    <t>401-35-0017</t>
  </si>
  <si>
    <t>เก้าอี้พิมพ์ดีดสีเทา</t>
  </si>
  <si>
    <t>19 ก.ย. 38</t>
  </si>
  <si>
    <t>705-35-0001</t>
  </si>
  <si>
    <t>เครื่องปรับอากาศ คลาสสิคแอร์</t>
  </si>
  <si>
    <t>30,000 บีทียู สีเขียว</t>
  </si>
  <si>
    <t>20 ก.พ. 49</t>
  </si>
  <si>
    <t>464-49-0012</t>
  </si>
  <si>
    <t>วิทยุสื่อสาร</t>
  </si>
  <si>
    <t>ICOM FOAS</t>
  </si>
  <si>
    <t>25 ก.พ. 40</t>
  </si>
  <si>
    <t>418-40-0002</t>
  </si>
  <si>
    <t>เครื่องถ่ายเอกสาร</t>
  </si>
  <si>
    <t>มิต้า DC-4355 สีควันบุหรี่</t>
  </si>
  <si>
    <t>16 มิ.ย. 40</t>
  </si>
  <si>
    <t>401-40-0022</t>
  </si>
  <si>
    <t>เก้าอี้ประชุมสีแดง</t>
  </si>
  <si>
    <t>เก้าอี้โครงเหล็ก บุนวม ห่อหุ้มสีแดง</t>
  </si>
  <si>
    <t>401-40-0023</t>
  </si>
  <si>
    <t>401-40-0024</t>
  </si>
  <si>
    <t>401-40-0025</t>
  </si>
  <si>
    <t>401-40-0026</t>
  </si>
  <si>
    <t>401-40-0027</t>
  </si>
  <si>
    <t>401-40-0028</t>
  </si>
  <si>
    <t>401-40-0029</t>
  </si>
  <si>
    <t>401-40-0030</t>
  </si>
  <si>
    <t>401-40-0031</t>
  </si>
  <si>
    <t>401-40-0032</t>
  </si>
  <si>
    <t>401-40-0033</t>
  </si>
  <si>
    <t>401-40-0034</t>
  </si>
  <si>
    <t>401-40-0035</t>
  </si>
  <si>
    <t>401-40-0036</t>
  </si>
  <si>
    <t>401-40-0037</t>
  </si>
  <si>
    <t>401-40-0038</t>
  </si>
  <si>
    <t>401-40-0039</t>
  </si>
  <si>
    <t>401-40-0040</t>
  </si>
  <si>
    <t>401-40-0041</t>
  </si>
  <si>
    <t>401-40-0042</t>
  </si>
  <si>
    <t>401-40-0043</t>
  </si>
  <si>
    <t>401-40-0044</t>
  </si>
  <si>
    <t>401-40-0045</t>
  </si>
  <si>
    <t>401-40-0046</t>
  </si>
  <si>
    <t>16 ส.ค. 40</t>
  </si>
  <si>
    <t>400-39-0022</t>
  </si>
  <si>
    <t>โต๊ะเขียนแบบ</t>
  </si>
  <si>
    <t>โต๊ะไม้อัด โครงเหล็ก ปรับระดับได้</t>
  </si>
  <si>
    <t>705-40-0002</t>
  </si>
  <si>
    <t>เครื่องปรับอากาศ วิลสัน</t>
  </si>
  <si>
    <t>28,300 บีทียู สีขาว</t>
  </si>
  <si>
    <t>18 ส.ค. 42</t>
  </si>
  <si>
    <t>401-42-0060</t>
  </si>
  <si>
    <t>เก้าอี้ทำงานระดับ 3-6</t>
  </si>
  <si>
    <t>เก้าอี้ บุนวมสีดำ มีล้อหมุน มีพนักพิง ผ้าฝ้าย</t>
  </si>
  <si>
    <t>30 ก.ย. 42</t>
  </si>
  <si>
    <t>425-42-0001</t>
  </si>
  <si>
    <t>กล้องถ่ายรูป</t>
  </si>
  <si>
    <t>ยี่ห้อ PENTEX</t>
  </si>
  <si>
    <t>16 ธ.ค. 42</t>
  </si>
  <si>
    <t>477-43-0001</t>
  </si>
  <si>
    <t>โต๊ะหมู่บูชา</t>
  </si>
  <si>
    <t>แบบไม้อัด ย้อมสีทอง</t>
  </si>
  <si>
    <t>28 เม.ย. 43</t>
  </si>
  <si>
    <t>464-43-0003</t>
  </si>
  <si>
    <t>ICOM กำลังส่ง 5 วัตต์ สีดำ</t>
  </si>
  <si>
    <t>464-43-0005</t>
  </si>
  <si>
    <t>ICOM กำลังส่ง 10 วัตต์ สีดำ</t>
  </si>
  <si>
    <t>21 พ.ค. 45</t>
  </si>
  <si>
    <t>433-45-0001</t>
  </si>
  <si>
    <t>มู่ลี่ (ม่านบังตา)</t>
  </si>
  <si>
    <t>มูลี่บาง</t>
  </si>
  <si>
    <t>26 ก.ย. 45</t>
  </si>
  <si>
    <t>464-45-0006</t>
  </si>
  <si>
    <t>464-45-0008</t>
  </si>
  <si>
    <t>20 พ.ย. 45</t>
  </si>
  <si>
    <t>433-47-0003</t>
  </si>
  <si>
    <t>ม่านปรับแสง</t>
  </si>
  <si>
    <t>ผ้าม่าน 6 ชุด</t>
  </si>
  <si>
    <t>1 เม.ย. 46</t>
  </si>
  <si>
    <t>401-46-0065</t>
  </si>
  <si>
    <t>เก้าอี้บุนวมสีน้ำเงิน</t>
  </si>
  <si>
    <t>เก้าอี้โครงเหล็ก บุนวม ห่อหุ้มสีน้ำเงิน</t>
  </si>
  <si>
    <t>401-46-0066</t>
  </si>
  <si>
    <t>401-46-0070</t>
  </si>
  <si>
    <t>401-46-0072</t>
  </si>
  <si>
    <t>401-46-0073</t>
  </si>
  <si>
    <t>401-46-0074</t>
  </si>
  <si>
    <t>401-46-0078</t>
  </si>
  <si>
    <t>401-46-0079</t>
  </si>
  <si>
    <t>401-46-0081</t>
  </si>
  <si>
    <t>401-46-0083</t>
  </si>
  <si>
    <t>401-46-0084</t>
  </si>
  <si>
    <t>401-46-0086</t>
  </si>
  <si>
    <t>401-46-0087</t>
  </si>
  <si>
    <t>401-46-0088</t>
  </si>
  <si>
    <t>401-46-0090</t>
  </si>
  <si>
    <t>401-46-0093</t>
  </si>
  <si>
    <t>401-46-0094</t>
  </si>
  <si>
    <t>401-46-0095</t>
  </si>
  <si>
    <t>401-46-0097</t>
  </si>
  <si>
    <t>401-46-0099</t>
  </si>
  <si>
    <t>401-46-0102</t>
  </si>
  <si>
    <t>401-46-0103</t>
  </si>
  <si>
    <t>401-46-0105</t>
  </si>
  <si>
    <t>401-46-0106</t>
  </si>
  <si>
    <t>401-46-0108</t>
  </si>
  <si>
    <t>401-46-0110</t>
  </si>
  <si>
    <t>401-46-0112</t>
  </si>
  <si>
    <t>401-46-0113</t>
  </si>
  <si>
    <t>401-46-0114</t>
  </si>
  <si>
    <t>401-46-0118</t>
  </si>
  <si>
    <t>401-46-0122</t>
  </si>
  <si>
    <t>401-46-0123</t>
  </si>
  <si>
    <t>401-46-0125</t>
  </si>
  <si>
    <t>401-46-0127</t>
  </si>
  <si>
    <t>401-46-0128</t>
  </si>
  <si>
    <t>401-46-0129</t>
  </si>
  <si>
    <t>401-46-0135</t>
  </si>
  <si>
    <t>401-46-0137</t>
  </si>
  <si>
    <t>401-46-0138</t>
  </si>
  <si>
    <t>401-46-0140</t>
  </si>
  <si>
    <t>401-46-0141</t>
  </si>
  <si>
    <t>401-46-0143</t>
  </si>
  <si>
    <t>401-46-0145</t>
  </si>
  <si>
    <t>401-46-0146</t>
  </si>
  <si>
    <t>401-46-0149</t>
  </si>
  <si>
    <t>401-46-0152</t>
  </si>
  <si>
    <t>401-46-0153</t>
  </si>
  <si>
    <t>401-46-0154</t>
  </si>
  <si>
    <t>401-46-0157</t>
  </si>
  <si>
    <t>401-46-0164</t>
  </si>
  <si>
    <t>401-460165</t>
  </si>
  <si>
    <t>401-460167</t>
  </si>
  <si>
    <t>401-46-0168</t>
  </si>
  <si>
    <t>401-46-0169</t>
  </si>
  <si>
    <t>401-46-0171</t>
  </si>
  <si>
    <t>401-46-0174</t>
  </si>
  <si>
    <t>401-46-0175</t>
  </si>
  <si>
    <t>401-46-0178</t>
  </si>
  <si>
    <t>401-46-0179</t>
  </si>
  <si>
    <t>401-46-0183</t>
  </si>
  <si>
    <t>401-46-0184</t>
  </si>
  <si>
    <t>401-46-0185</t>
  </si>
  <si>
    <t>401-46-0188</t>
  </si>
  <si>
    <t>401-46-0190</t>
  </si>
  <si>
    <t>401-46-0191</t>
  </si>
  <si>
    <t>401-46-0192</t>
  </si>
  <si>
    <t>401-46-0193</t>
  </si>
  <si>
    <t>401-46-0195</t>
  </si>
  <si>
    <t>401-46-0198</t>
  </si>
  <si>
    <t>401-46-0199</t>
  </si>
  <si>
    <t>401-46-0201</t>
  </si>
  <si>
    <t>401-46-0203</t>
  </si>
  <si>
    <t>401-46-0204</t>
  </si>
  <si>
    <t>401-46-0206</t>
  </si>
  <si>
    <t>401-46-0207</t>
  </si>
  <si>
    <t>401-46-0209</t>
  </si>
  <si>
    <t>401-46-0210</t>
  </si>
  <si>
    <t>401-46-0211</t>
  </si>
  <si>
    <t>401-46-0212</t>
  </si>
  <si>
    <t>401-46-0217</t>
  </si>
  <si>
    <t>401-46-0219</t>
  </si>
  <si>
    <t>401-46-0220</t>
  </si>
  <si>
    <t>401-46-0225</t>
  </si>
  <si>
    <t>24 เม.ย. 46</t>
  </si>
  <si>
    <t>433-46-0002</t>
  </si>
  <si>
    <t>ผ้าม่าน</t>
  </si>
  <si>
    <t>4 ธ.ค. 46</t>
  </si>
  <si>
    <t>423-47-0003</t>
  </si>
  <si>
    <t>เครื่องโทรสาร</t>
  </si>
  <si>
    <t>ริโก้ รุ่น 1120L สีขาว</t>
  </si>
  <si>
    <t>11 ธ.ค. 46</t>
  </si>
  <si>
    <t>051-47-0001</t>
  </si>
  <si>
    <t>ไม้สตาฟ</t>
  </si>
  <si>
    <t>อลูมิเนียมแบบชัก 4 เมตร</t>
  </si>
  <si>
    <t>20 พ.ค. 37</t>
  </si>
  <si>
    <t>703-37-0001</t>
  </si>
  <si>
    <t>ตู้เย็น</t>
  </si>
  <si>
    <t>National 5.5 คิว สีเขียว</t>
  </si>
  <si>
    <t>21 ก.ค. 47</t>
  </si>
  <si>
    <t>432-47-0002</t>
  </si>
  <si>
    <t>พัดลมตั้งพื้น</t>
  </si>
  <si>
    <t>มิซซูบิชิ 16 นิ้ว สีฟ้าอ่อนอมขาว</t>
  </si>
  <si>
    <t>9 ส.ค. 47</t>
  </si>
  <si>
    <t>401-47-0230</t>
  </si>
  <si>
    <t>16 พ.ค. 48</t>
  </si>
  <si>
    <t>477-48-0002</t>
  </si>
  <si>
    <t>โต๊ะหมู่บูชาชุดเล็กพร้อมอุปกรณ์</t>
  </si>
  <si>
    <t>26 ม.ค. 49</t>
  </si>
  <si>
    <t>600-49-0002</t>
  </si>
  <si>
    <t>อินเตอร์เน็ทพร้อมเวปไซด์</t>
  </si>
  <si>
    <t>ค่าจด Domainname</t>
  </si>
  <si>
    <t>22 ก.พ. 49</t>
  </si>
  <si>
    <t>401-49-0239</t>
  </si>
  <si>
    <t>20 มี.ค. 49</t>
  </si>
  <si>
    <t>077-49-0002</t>
  </si>
  <si>
    <t>เทปวัดระยะ</t>
  </si>
  <si>
    <t>พลาสติก</t>
  </si>
  <si>
    <t>11 ก.ย. 49</t>
  </si>
  <si>
    <t>433-49-0004</t>
  </si>
  <si>
    <t>ผ้าม่านพร้อมอุปกรณ์</t>
  </si>
  <si>
    <t>ผ้าม่านสีน้ำเงิน สีกรม 5 ชุด</t>
  </si>
  <si>
    <t>30 ส.ค. 49</t>
  </si>
  <si>
    <t>705-49-0007</t>
  </si>
  <si>
    <t>เครื่องปรับอากาศ</t>
  </si>
  <si>
    <t xml:space="preserve">Panasonic 12,000 บีทียู สีขาว ครีม </t>
  </si>
  <si>
    <t>11 ก.ย. 51</t>
  </si>
  <si>
    <t>401-51-0251</t>
  </si>
  <si>
    <t>เก้าอี้ บุนวม มีล้อหมุน มีพนักพิง สีน้ำตาล</t>
  </si>
  <si>
    <t>18 พ.ย. 51</t>
  </si>
  <si>
    <t>416-51-0016</t>
  </si>
  <si>
    <t>เครื่องคอมพิวเตอร์แบบพกพา</t>
  </si>
  <si>
    <t>โน๊ตบุค ยี่ห้อ acer</t>
  </si>
  <si>
    <t>25 พ.ย. 51</t>
  </si>
  <si>
    <t>401-51-0253</t>
  </si>
  <si>
    <t>เก้าอี้ บุนวม มีล้อหมุน มีพนักพิง สีดำ</t>
  </si>
  <si>
    <t>19 มี.ค. 53</t>
  </si>
  <si>
    <t>404-33-0001</t>
  </si>
  <si>
    <t>ชั้นวางเอกสารชั้นเหล็กติดล้อ</t>
  </si>
  <si>
    <t>โครงเหล็ก มีล้อพลาสติก สีแดง</t>
  </si>
  <si>
    <t>25 มี.ค. 53</t>
  </si>
  <si>
    <t>401-53-0260</t>
  </si>
  <si>
    <t>19 ส.ค. 53</t>
  </si>
  <si>
    <t>434-53-0001</t>
  </si>
  <si>
    <t>ผ้าม่านหลังเวที</t>
  </si>
  <si>
    <t>ผ้าม่านมีห่วงร้อยสีน้ำเงิน</t>
  </si>
  <si>
    <t>22 ก.ย. 54</t>
  </si>
  <si>
    <t>077-54-0003</t>
  </si>
  <si>
    <t>26 ส.ค. 56</t>
  </si>
  <si>
    <t>401-56-0319</t>
  </si>
  <si>
    <t>6 ส.ค. 50</t>
  </si>
  <si>
    <t>416-50-0015</t>
  </si>
  <si>
    <t>เครื่องคอมพิวเตอร์พร้อมอุปกรณ์</t>
  </si>
  <si>
    <t>Intel celeron ,Printer EPSON สีดำ</t>
  </si>
  <si>
    <t>25 ก.ย. 43</t>
  </si>
  <si>
    <t>414-43-0007</t>
  </si>
  <si>
    <t>เครื่องคอมพิวเตอร์พร้อมโต๊ะ</t>
  </si>
  <si>
    <t>ยี่ห้อ LASER สีควันบุหรี่</t>
  </si>
  <si>
    <t>27 ม.ค. 49</t>
  </si>
  <si>
    <t>416-49-0010</t>
  </si>
  <si>
    <t>เครื่องสำรองไฟ</t>
  </si>
  <si>
    <t>UPS 500VA SYNDOME</t>
  </si>
  <si>
    <t>17 ม.ค. 49</t>
  </si>
  <si>
    <t>416-49-0009</t>
  </si>
  <si>
    <t>เครื่องพริ้นเตอร์</t>
  </si>
  <si>
    <t>EPSON LQ 2090</t>
  </si>
  <si>
    <t>7 ก.ย. 43</t>
  </si>
  <si>
    <t>414-43-0006</t>
  </si>
  <si>
    <t>เครื่องพริ้นเตอร์สี</t>
  </si>
  <si>
    <t>HP DJ930 C สีเทา</t>
  </si>
  <si>
    <t>414-49-0009</t>
  </si>
  <si>
    <t>LG , EPSON LQ 2090 , UPS 750 VA</t>
  </si>
  <si>
    <t>3 มี.ค. 47</t>
  </si>
  <si>
    <t>414-47-0008</t>
  </si>
  <si>
    <t xml:space="preserve">HP Pavition 9418L ,Printer Laser, UPS 750 AV </t>
  </si>
  <si>
    <t>8 พ.ค. 40</t>
  </si>
  <si>
    <t>414-40-0004</t>
  </si>
  <si>
    <t xml:space="preserve">เครื่องคอมพิวเตอร์ </t>
  </si>
  <si>
    <t>AdiProvista สีควันบุหรี่</t>
  </si>
  <si>
    <t>10 ก.ค. 55</t>
  </si>
  <si>
    <t>272-55-0006</t>
  </si>
  <si>
    <t>อุปกรณ์ห่วงโหน</t>
  </si>
  <si>
    <t>เครื่องเล่นสนามและออกกำลังกาย</t>
  </si>
  <si>
    <t>ลานกีฬา</t>
  </si>
  <si>
    <t>กระดานลื่นลอดอุโมงค์</t>
  </si>
  <si>
    <t>บาร์ปีนป่ายอุโมงค์ลอดกระดานลื่น</t>
  </si>
  <si>
    <t>ชิงช้าใหญ่พิเศษ</t>
  </si>
  <si>
    <t>เรือบก</t>
  </si>
  <si>
    <t>กระดานลื่นสองทาง</t>
  </si>
  <si>
    <t>ม้ากระดก</t>
  </si>
  <si>
    <t>ชิงช้าปีนป่าย</t>
  </si>
  <si>
    <t>เครื่องวิ่งล้อถ่วง</t>
  </si>
  <si>
    <t>เครื่องบริหารเอว สะโพก</t>
  </si>
  <si>
    <t>เครื่องโยก แขน ขา สะโพก</t>
  </si>
  <si>
    <t>เครื่องซิพอัพและนวดหลัง</t>
  </si>
  <si>
    <t>จักรยานผีเสื้อบริหารหน้าอก</t>
  </si>
  <si>
    <t>เครื่องบริหารขา น่อง ข้อเข่า แบบสปริง</t>
  </si>
  <si>
    <t>เครื่องบริหารกล้ามเนื้อข้างลำตัว ขา ลำตัว</t>
  </si>
  <si>
    <t>กระสอบทราย</t>
  </si>
  <si>
    <t>ชุดบ่าเดี่ยวและบาร์คู่</t>
  </si>
  <si>
    <t>27 พ.ค. 51</t>
  </si>
  <si>
    <t>476-51-0004</t>
  </si>
  <si>
    <t>เครื่องเล่นสนามกระโจมหมุน</t>
  </si>
  <si>
    <t>เครื่องเล่นสนามกลางแจ้ง,เหล็ก</t>
  </si>
  <si>
    <t>ไม่ลงงบทรัพย์สิน</t>
  </si>
  <si>
    <t>476-51-0007</t>
  </si>
  <si>
    <t>เครื่องเล่นสนามเรือหงษ์เล็ก</t>
  </si>
  <si>
    <t>476-51-0009</t>
  </si>
  <si>
    <t>เครื่องเล่นสนามชิงช้ากลมกลาง</t>
  </si>
  <si>
    <t>28 ส.ค. 52</t>
  </si>
  <si>
    <t>476-52-0010</t>
  </si>
  <si>
    <t>เครื่องเล่นสนามชุดสนุกสุดมหัศจรรย์</t>
  </si>
  <si>
    <t>พลาสติก สีม่วง ขาว น้ำเงิน เขียว แดง</t>
  </si>
  <si>
    <t>476-52-0011</t>
  </si>
  <si>
    <t>เครื่องเล่นสนามชุดอุโมงค์น้อยมหาสนุก</t>
  </si>
  <si>
    <t>พลาสติก น้ำเงิน แดง เป็นอุโมงค์คล้ายตัวหนอน</t>
  </si>
  <si>
    <t>478-52-0012</t>
  </si>
  <si>
    <t>เครื่องเล่นสนามชุดอุโมงค์น้อยหรรษา</t>
  </si>
  <si>
    <t>พลาสติก น้ำเงิน แดง เป็นอุโมงค์</t>
  </si>
  <si>
    <t>476-52-0013</t>
  </si>
  <si>
    <t>เครื่องเล่นสนามชุดม้าน้อยมหัศจรรย์</t>
  </si>
  <si>
    <t>เครื่องเล่นสนามกลางแจ้ง</t>
  </si>
  <si>
    <t>26 ก.ย. 54</t>
  </si>
  <si>
    <t>478-54-0001</t>
  </si>
  <si>
    <t>ชุดเครื่องแต่งกายปฏิบัติงานไฟฟ้า</t>
  </si>
  <si>
    <t>ชุดเซฟตี้,ชุดลูกหมี</t>
  </si>
  <si>
    <t>478-54-0002</t>
  </si>
  <si>
    <t>28 ต.ค. 55</t>
  </si>
  <si>
    <t>005-55-0001</t>
  </si>
  <si>
    <t xml:space="preserve">หม้อแปลงไฟฟ้าขนาด 100 KVA </t>
  </si>
  <si>
    <t>หม้อแปลงไฟฟ้าขนาด 100 KVA</t>
  </si>
  <si>
    <t>โต๊ะเก้าอี้คอมพิวเตอร์</t>
  </si>
  <si>
    <t>โทรศัพท์</t>
  </si>
  <si>
    <t>ปีงบประมาณ 2559</t>
  </si>
  <si>
    <t xml:space="preserve">    12. ครุภัณฑ์การเกษตร</t>
  </si>
  <si>
    <t xml:space="preserve">    13. ครุภัณฑ์วิทยาศาสตร์หรือการแพทย์</t>
  </si>
  <si>
    <t>สำหรับปีสิ้นสุดวันที่ 30 กันยายน 2559</t>
  </si>
  <si>
    <t>สำหรับปี สิ้นสุดวันที่ 30 กันยายน 2559</t>
  </si>
  <si>
    <t>2553  (ก.ย. 53)</t>
  </si>
  <si>
    <t>2554  (ต.ค. 53 - พ.ย. 53)</t>
  </si>
  <si>
    <t>ลูกหนี้ค่าเช่าตลาดสด</t>
  </si>
  <si>
    <t>2559 (ต.ค. 58 - ก.ย. 59)</t>
  </si>
  <si>
    <t>2558  (มี.ค. 58 - ก.ย. 58)</t>
  </si>
  <si>
    <t>รายงานรายจ่ายในการดำเนินงานที่จ่ายจากเงินรายรับตามแผนงานเคหะและชุมชน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</si>
</sst>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_);\(#,##0.00\)"/>
    <numFmt numFmtId="188" formatCode="dd\ ดดด\ bbbb"/>
    <numFmt numFmtId="189" formatCode="dd\ ดดดด\ bbbb"/>
    <numFmt numFmtId="190" formatCode="[$-1010409]General"/>
    <numFmt numFmtId="191" formatCode="[$-1010409]#,##0.00;\-#,##0.00"/>
    <numFmt numFmtId="192" formatCode="[$-1041E]#,##0.00;\-#,##0.00"/>
    <numFmt numFmtId="193" formatCode="d\ mmm\ bbbb"/>
  </numFmts>
  <fonts count="2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2"/>
      <name val="TH SarabunPSK"/>
      <family val="2"/>
    </font>
    <font>
      <b/>
      <u val="singleAccounting"/>
      <sz val="16"/>
      <name val="TH SarabunPSK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7" fillId="0" borderId="0">
      <alignment wrapText="1"/>
    </xf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1" fillId="0" borderId="0"/>
    <xf numFmtId="0" fontId="1" fillId="0" borderId="0"/>
    <xf numFmtId="43" fontId="17" fillId="0" borderId="0" applyFont="0" applyFill="0" applyBorder="0" applyAlignment="0" applyProtection="0"/>
  </cellStyleXfs>
  <cellXfs count="29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/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43" fontId="11" fillId="0" borderId="7" xfId="3" applyFont="1" applyBorder="1"/>
    <xf numFmtId="43" fontId="11" fillId="0" borderId="6" xfId="3" applyFont="1" applyBorder="1"/>
    <xf numFmtId="0" fontId="11" fillId="0" borderId="7" xfId="0" applyFont="1" applyBorder="1"/>
    <xf numFmtId="43" fontId="11" fillId="0" borderId="8" xfId="3" applyFont="1" applyBorder="1"/>
    <xf numFmtId="0" fontId="12" fillId="0" borderId="8" xfId="0" applyFont="1" applyBorder="1"/>
    <xf numFmtId="43" fontId="11" fillId="0" borderId="3" xfId="0" applyNumberFormat="1" applyFont="1" applyBorder="1"/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43" fontId="11" fillId="0" borderId="9" xfId="0" applyNumberFormat="1" applyFont="1" applyBorder="1"/>
    <xf numFmtId="0" fontId="11" fillId="0" borderId="9" xfId="0" applyFont="1" applyBorder="1"/>
    <xf numFmtId="0" fontId="11" fillId="0" borderId="0" xfId="0" applyFont="1" applyBorder="1" applyAlignment="1">
      <alignment horizontal="center"/>
    </xf>
    <xf numFmtId="43" fontId="11" fillId="0" borderId="0" xfId="0" applyNumberFormat="1" applyFont="1" applyBorder="1"/>
    <xf numFmtId="0" fontId="11" fillId="0" borderId="0" xfId="0" applyFont="1" applyBorder="1"/>
    <xf numFmtId="0" fontId="12" fillId="0" borderId="10" xfId="0" applyFont="1" applyBorder="1"/>
    <xf numFmtId="43" fontId="11" fillId="0" borderId="0" xfId="3" applyFont="1"/>
    <xf numFmtId="43" fontId="12" fillId="0" borderId="6" xfId="3" applyFont="1" applyBorder="1"/>
    <xf numFmtId="43" fontId="11" fillId="0" borderId="11" xfId="3" applyFont="1" applyBorder="1"/>
    <xf numFmtId="0" fontId="11" fillId="0" borderId="12" xfId="0" applyFont="1" applyBorder="1"/>
    <xf numFmtId="43" fontId="11" fillId="0" borderId="13" xfId="0" applyNumberFormat="1" applyFont="1" applyBorder="1"/>
    <xf numFmtId="0" fontId="11" fillId="0" borderId="0" xfId="0" applyFont="1" applyAlignment="1">
      <alignment horizontal="left"/>
    </xf>
    <xf numFmtId="0" fontId="11" fillId="0" borderId="12" xfId="0" applyFont="1" applyBorder="1" applyAlignment="1">
      <alignment horizontal="center"/>
    </xf>
    <xf numFmtId="43" fontId="11" fillId="0" borderId="12" xfId="0" applyNumberFormat="1" applyFont="1" applyBorder="1"/>
    <xf numFmtId="0" fontId="12" fillId="0" borderId="5" xfId="0" applyFont="1" applyBorder="1" applyAlignment="1">
      <alignment horizontal="center"/>
    </xf>
    <xf numFmtId="188" fontId="12" fillId="0" borderId="7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7" xfId="0" applyFont="1" applyBorder="1" applyAlignment="1">
      <alignment horizontal="center"/>
    </xf>
    <xf numFmtId="0" fontId="12" fillId="0" borderId="14" xfId="0" applyFont="1" applyBorder="1"/>
    <xf numFmtId="0" fontId="12" fillId="0" borderId="15" xfId="0" applyFont="1" applyBorder="1"/>
    <xf numFmtId="0" fontId="12" fillId="0" borderId="12" xfId="0" applyFont="1" applyBorder="1"/>
    <xf numFmtId="43" fontId="11" fillId="0" borderId="12" xfId="3" applyFont="1" applyBorder="1"/>
    <xf numFmtId="0" fontId="13" fillId="0" borderId="0" xfId="0" applyFont="1"/>
    <xf numFmtId="43" fontId="11" fillId="0" borderId="16" xfId="3" applyFont="1" applyBorder="1"/>
    <xf numFmtId="43" fontId="12" fillId="0" borderId="0" xfId="3" applyFont="1"/>
    <xf numFmtId="43" fontId="11" fillId="0" borderId="17" xfId="3" applyFont="1" applyBorder="1"/>
    <xf numFmtId="0" fontId="12" fillId="0" borderId="17" xfId="0" applyFont="1" applyBorder="1"/>
    <xf numFmtId="43" fontId="11" fillId="0" borderId="1" xfId="3" applyFont="1" applyBorder="1"/>
    <xf numFmtId="0" fontId="11" fillId="0" borderId="10" xfId="0" applyFont="1" applyBorder="1"/>
    <xf numFmtId="0" fontId="13" fillId="0" borderId="4" xfId="0" applyFont="1" applyBorder="1"/>
    <xf numFmtId="0" fontId="13" fillId="0" borderId="7" xfId="0" applyFont="1" applyBorder="1"/>
    <xf numFmtId="0" fontId="11" fillId="0" borderId="3" xfId="0" applyFont="1" applyBorder="1" applyAlignment="1">
      <alignment horizontal="center" vertical="center"/>
    </xf>
    <xf numFmtId="43" fontId="11" fillId="0" borderId="7" xfId="1" applyFont="1" applyBorder="1" applyAlignment="1"/>
    <xf numFmtId="43" fontId="12" fillId="0" borderId="0" xfId="0" applyNumberFormat="1" applyFont="1"/>
    <xf numFmtId="0" fontId="12" fillId="0" borderId="0" xfId="0" applyFont="1" applyAlignment="1"/>
    <xf numFmtId="43" fontId="12" fillId="0" borderId="1" xfId="1" applyNumberFormat="1" applyFont="1" applyBorder="1" applyAlignment="1">
      <alignment horizontal="right"/>
    </xf>
    <xf numFmtId="0" fontId="12" fillId="0" borderId="18" xfId="0" applyFont="1" applyBorder="1"/>
    <xf numFmtId="0" fontId="12" fillId="0" borderId="19" xfId="0" applyFont="1" applyBorder="1"/>
    <xf numFmtId="43" fontId="11" fillId="0" borderId="1" xfId="1" applyFont="1" applyBorder="1"/>
    <xf numFmtId="43" fontId="11" fillId="0" borderId="1" xfId="1" applyFont="1" applyBorder="1" applyAlignment="1">
      <alignment horizontal="right"/>
    </xf>
    <xf numFmtId="43" fontId="11" fillId="0" borderId="12" xfId="1" applyFont="1" applyBorder="1"/>
    <xf numFmtId="43" fontId="11" fillId="0" borderId="13" xfId="1" applyFont="1" applyBorder="1"/>
    <xf numFmtId="43" fontId="11" fillId="0" borderId="12" xfId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3" fontId="11" fillId="0" borderId="0" xfId="1" applyFont="1" applyAlignment="1">
      <alignment horizontal="right"/>
    </xf>
    <xf numFmtId="43" fontId="12" fillId="0" borderId="0" xfId="1" applyFont="1"/>
    <xf numFmtId="43" fontId="11" fillId="0" borderId="20" xfId="1" applyFont="1" applyBorder="1"/>
    <xf numFmtId="43" fontId="11" fillId="0" borderId="16" xfId="0" applyNumberFormat="1" applyFont="1" applyBorder="1"/>
    <xf numFmtId="43" fontId="11" fillId="0" borderId="19" xfId="1" applyFont="1" applyBorder="1"/>
    <xf numFmtId="0" fontId="16" fillId="0" borderId="0" xfId="0" applyFont="1"/>
    <xf numFmtId="4" fontId="12" fillId="0" borderId="0" xfId="0" applyNumberFormat="1" applyFont="1"/>
    <xf numFmtId="43" fontId="12" fillId="0" borderId="5" xfId="1" applyFont="1" applyBorder="1"/>
    <xf numFmtId="17" fontId="12" fillId="0" borderId="5" xfId="0" applyNumberFormat="1" applyFont="1" applyBorder="1" applyAlignment="1">
      <alignment horizontal="center"/>
    </xf>
    <xf numFmtId="43" fontId="12" fillId="0" borderId="7" xfId="1" applyFont="1" applyBorder="1"/>
    <xf numFmtId="43" fontId="12" fillId="0" borderId="3" xfId="0" applyNumberFormat="1" applyFont="1" applyBorder="1"/>
    <xf numFmtId="43" fontId="12" fillId="0" borderId="16" xfId="1" applyFont="1" applyBorder="1"/>
    <xf numFmtId="43" fontId="12" fillId="0" borderId="7" xfId="3" applyFont="1" applyBorder="1"/>
    <xf numFmtId="187" fontId="12" fillId="0" borderId="21" xfId="3" applyNumberFormat="1" applyFont="1" applyBorder="1"/>
    <xf numFmtId="43" fontId="12" fillId="0" borderId="0" xfId="3" applyFont="1" applyBorder="1"/>
    <xf numFmtId="43" fontId="11" fillId="0" borderId="3" xfId="1" applyFont="1" applyBorder="1" applyAlignment="1"/>
    <xf numFmtId="43" fontId="12" fillId="0" borderId="0" xfId="0" applyNumberFormat="1" applyFont="1" applyAlignment="1"/>
    <xf numFmtId="187" fontId="16" fillId="0" borderId="0" xfId="0" applyNumberFormat="1" applyFont="1"/>
    <xf numFmtId="43" fontId="5" fillId="0" borderId="0" xfId="0" applyNumberFormat="1" applyFont="1"/>
    <xf numFmtId="43" fontId="12" fillId="0" borderId="0" xfId="3" applyFont="1" applyBorder="1" applyAlignment="1">
      <alignment horizontal="right"/>
    </xf>
    <xf numFmtId="43" fontId="12" fillId="0" borderId="21" xfId="3" applyFont="1" applyBorder="1" applyAlignment="1">
      <alignment horizontal="right"/>
    </xf>
    <xf numFmtId="43" fontId="12" fillId="0" borderId="21" xfId="3" applyFont="1" applyBorder="1"/>
    <xf numFmtId="43" fontId="12" fillId="0" borderId="0" xfId="3" applyFont="1" applyAlignment="1">
      <alignment horizontal="right"/>
    </xf>
    <xf numFmtId="0" fontId="11" fillId="0" borderId="22" xfId="0" applyFont="1" applyBorder="1"/>
    <xf numFmtId="0" fontId="11" fillId="0" borderId="23" xfId="0" applyFont="1" applyBorder="1"/>
    <xf numFmtId="0" fontId="12" fillId="0" borderId="7" xfId="0" quotePrefix="1" applyFont="1" applyBorder="1" applyAlignment="1">
      <alignment horizontal="center"/>
    </xf>
    <xf numFmtId="0" fontId="15" fillId="0" borderId="0" xfId="0" applyFont="1" applyBorder="1"/>
    <xf numFmtId="43" fontId="11" fillId="0" borderId="0" xfId="0" applyNumberFormat="1" applyFont="1"/>
    <xf numFmtId="43" fontId="11" fillId="0" borderId="0" xfId="1" applyFont="1"/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4" xfId="0" applyFont="1" applyBorder="1"/>
    <xf numFmtId="0" fontId="12" fillId="0" borderId="25" xfId="0" applyFont="1" applyBorder="1"/>
    <xf numFmtId="0" fontId="12" fillId="0" borderId="5" xfId="0" quotePrefix="1" applyFont="1" applyBorder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1" applyFont="1" applyBorder="1"/>
    <xf numFmtId="0" fontId="15" fillId="0" borderId="3" xfId="0" applyFont="1" applyBorder="1"/>
    <xf numFmtId="43" fontId="12" fillId="0" borderId="3" xfId="1" applyFont="1" applyBorder="1"/>
    <xf numFmtId="0" fontId="12" fillId="0" borderId="3" xfId="0" applyFont="1" applyBorder="1" applyAlignment="1">
      <alignment horizontal="left"/>
    </xf>
    <xf numFmtId="190" fontId="18" fillId="0" borderId="0" xfId="2" applyNumberFormat="1" applyFont="1" applyFill="1" applyBorder="1" applyAlignment="1">
      <alignment horizontal="center" vertical="top" wrapText="1"/>
    </xf>
    <xf numFmtId="191" fontId="18" fillId="0" borderId="0" xfId="2" applyNumberFormat="1" applyFont="1" applyFill="1" applyBorder="1" applyAlignment="1">
      <alignment horizontal="right" vertical="top" wrapText="1"/>
    </xf>
    <xf numFmtId="191" fontId="19" fillId="0" borderId="0" xfId="2" applyNumberFormat="1" applyFont="1" applyFill="1" applyBorder="1" applyAlignment="1">
      <alignment horizontal="right" vertical="top" wrapText="1"/>
    </xf>
    <xf numFmtId="0" fontId="11" fillId="0" borderId="2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91" fontId="12" fillId="0" borderId="0" xfId="0" applyNumberFormat="1" applyFont="1" applyFill="1" applyBorder="1" applyAlignment="1">
      <alignment horizontal="right" vertical="top" wrapText="1"/>
    </xf>
    <xf numFmtId="191" fontId="12" fillId="0" borderId="0" xfId="0" applyNumberFormat="1" applyFont="1"/>
    <xf numFmtId="0" fontId="18" fillId="0" borderId="4" xfId="2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191" fontId="12" fillId="0" borderId="3" xfId="0" applyNumberFormat="1" applyFont="1" applyBorder="1"/>
    <xf numFmtId="0" fontId="11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191" fontId="18" fillId="0" borderId="4" xfId="2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191" fontId="12" fillId="0" borderId="1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191" fontId="12" fillId="0" borderId="2" xfId="0" applyNumberFormat="1" applyFont="1" applyFill="1" applyBorder="1" applyAlignment="1">
      <alignment vertical="top" wrapText="1"/>
    </xf>
    <xf numFmtId="190" fontId="18" fillId="0" borderId="0" xfId="2" applyNumberFormat="1" applyFont="1" applyFill="1" applyBorder="1" applyAlignment="1">
      <alignment horizontal="center" vertical="center" wrapText="1"/>
    </xf>
    <xf numFmtId="191" fontId="18" fillId="0" borderId="0" xfId="2" applyNumberFormat="1" applyFont="1" applyFill="1" applyBorder="1" applyAlignment="1">
      <alignment horizontal="center" vertical="center" wrapText="1"/>
    </xf>
    <xf numFmtId="191" fontId="19" fillId="0" borderId="0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187" fontId="12" fillId="0" borderId="0" xfId="3" applyNumberFormat="1" applyFont="1"/>
    <xf numFmtId="43" fontId="11" fillId="0" borderId="1" xfId="1" applyFont="1" applyBorder="1" applyAlignme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3" fontId="11" fillId="0" borderId="2" xfId="1" applyFont="1" applyBorder="1"/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43" fontId="11" fillId="0" borderId="2" xfId="1" applyFont="1" applyBorder="1" applyAlignment="1">
      <alignment horizontal="right"/>
    </xf>
    <xf numFmtId="43" fontId="11" fillId="0" borderId="3" xfId="1" applyFont="1" applyBorder="1"/>
    <xf numFmtId="43" fontId="11" fillId="0" borderId="3" xfId="1" applyFont="1" applyBorder="1" applyAlignment="1">
      <alignment horizontal="right"/>
    </xf>
    <xf numFmtId="43" fontId="11" fillId="0" borderId="3" xfId="1" applyFont="1" applyBorder="1" applyAlignment="1">
      <alignment horizontal="center"/>
    </xf>
    <xf numFmtId="43" fontId="12" fillId="0" borderId="1" xfId="0" applyNumberFormat="1" applyFont="1" applyBorder="1" applyAlignment="1">
      <alignment horizontal="left"/>
    </xf>
    <xf numFmtId="43" fontId="11" fillId="0" borderId="18" xfId="1" applyFont="1" applyBorder="1" applyAlignment="1">
      <alignment horizontal="right"/>
    </xf>
    <xf numFmtId="0" fontId="13" fillId="0" borderId="4" xfId="0" applyFont="1" applyBorder="1" applyAlignment="1">
      <alignment horizontal="left" vertical="center"/>
    </xf>
    <xf numFmtId="43" fontId="11" fillId="0" borderId="4" xfId="1" applyFont="1" applyBorder="1"/>
    <xf numFmtId="43" fontId="11" fillId="0" borderId="4" xfId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43" fontId="12" fillId="0" borderId="22" xfId="0" applyNumberFormat="1" applyFont="1" applyBorder="1" applyAlignment="1">
      <alignment horizontal="center"/>
    </xf>
    <xf numFmtId="43" fontId="12" fillId="0" borderId="1" xfId="1" applyFont="1" applyBorder="1" applyAlignment="1">
      <alignment horizontal="left"/>
    </xf>
    <xf numFmtId="43" fontId="12" fillId="0" borderId="3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1" fillId="0" borderId="14" xfId="3" applyFont="1" applyBorder="1"/>
    <xf numFmtId="43" fontId="11" fillId="0" borderId="16" xfId="1" applyFont="1" applyBorder="1"/>
    <xf numFmtId="0" fontId="20" fillId="0" borderId="3" xfId="2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vertical="top" wrapText="1"/>
    </xf>
    <xf numFmtId="189" fontId="11" fillId="0" borderId="1" xfId="0" applyNumberFormat="1" applyFont="1" applyFill="1" applyBorder="1" applyAlignment="1">
      <alignment horizontal="center" vertical="top" wrapText="1"/>
    </xf>
    <xf numFmtId="189" fontId="11" fillId="0" borderId="1" xfId="0" applyNumberFormat="1" applyFont="1" applyFill="1" applyBorder="1" applyAlignment="1">
      <alignment vertical="top" wrapText="1"/>
    </xf>
    <xf numFmtId="43" fontId="11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43" fontId="11" fillId="0" borderId="0" xfId="1" applyFont="1" applyAlignment="1">
      <alignment horizontal="center"/>
    </xf>
    <xf numFmtId="43" fontId="11" fillId="0" borderId="23" xfId="0" applyNumberFormat="1" applyFont="1" applyBorder="1"/>
    <xf numFmtId="43" fontId="22" fillId="0" borderId="0" xfId="1" applyFont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23" xfId="1" applyFont="1" applyBorder="1"/>
    <xf numFmtId="0" fontId="23" fillId="0" borderId="0" xfId="0" applyFont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188" fontId="12" fillId="0" borderId="5" xfId="0" applyNumberFormat="1" applyFont="1" applyBorder="1" applyAlignment="1">
      <alignment horizontal="center"/>
    </xf>
    <xf numFmtId="0" fontId="12" fillId="0" borderId="27" xfId="0" applyFont="1" applyBorder="1"/>
    <xf numFmtId="0" fontId="12" fillId="0" borderId="20" xfId="0" applyFont="1" applyBorder="1"/>
    <xf numFmtId="0" fontId="12" fillId="0" borderId="20" xfId="0" applyFont="1" applyBorder="1" applyAlignment="1">
      <alignment horizontal="center"/>
    </xf>
    <xf numFmtId="0" fontId="12" fillId="0" borderId="28" xfId="0" applyFont="1" applyBorder="1"/>
    <xf numFmtId="43" fontId="12" fillId="0" borderId="29" xfId="0" applyNumberFormat="1" applyFont="1" applyFill="1" applyBorder="1"/>
    <xf numFmtId="0" fontId="12" fillId="0" borderId="5" xfId="0" applyNumberFormat="1" applyFont="1" applyFill="1" applyBorder="1" applyAlignment="1">
      <alignment vertical="top" readingOrder="1"/>
    </xf>
    <xf numFmtId="192" fontId="12" fillId="0" borderId="5" xfId="0" applyNumberFormat="1" applyFont="1" applyFill="1" applyBorder="1" applyAlignment="1">
      <alignment horizontal="right" vertical="top" readingOrder="1"/>
    </xf>
    <xf numFmtId="0" fontId="12" fillId="0" borderId="7" xfId="0" applyNumberFormat="1" applyFont="1" applyFill="1" applyBorder="1" applyAlignment="1">
      <alignment vertical="top" readingOrder="1"/>
    </xf>
    <xf numFmtId="192" fontId="12" fillId="0" borderId="7" xfId="0" applyNumberFormat="1" applyFont="1" applyFill="1" applyBorder="1" applyAlignment="1">
      <alignment horizontal="right" vertical="top" readingOrder="1"/>
    </xf>
    <xf numFmtId="0" fontId="12" fillId="0" borderId="7" xfId="0" applyNumberFormat="1" applyFont="1" applyFill="1" applyBorder="1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1" fillId="0" borderId="0" xfId="6" applyNumberFormat="1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center" vertical="top"/>
    </xf>
    <xf numFmtId="0" fontId="18" fillId="0" borderId="0" xfId="7" applyFont="1" applyFill="1" applyAlignment="1">
      <alignment vertical="top"/>
    </xf>
    <xf numFmtId="0" fontId="20" fillId="0" borderId="0" xfId="7" applyFont="1" applyFill="1" applyAlignment="1">
      <alignment horizontal="right" vertical="top"/>
    </xf>
    <xf numFmtId="0" fontId="11" fillId="0" borderId="0" xfId="6" applyFont="1" applyFill="1" applyBorder="1" applyAlignment="1">
      <alignment horizontal="left" vertical="top"/>
    </xf>
    <xf numFmtId="49" fontId="18" fillId="0" borderId="0" xfId="7" applyNumberFormat="1" applyFont="1" applyFill="1" applyBorder="1" applyAlignment="1">
      <alignment horizontal="centerContinuous" vertical="top"/>
    </xf>
    <xf numFmtId="0" fontId="18" fillId="0" borderId="0" xfId="7" applyFont="1" applyFill="1" applyAlignment="1">
      <alignment horizontal="centerContinuous" vertical="top"/>
    </xf>
    <xf numFmtId="49" fontId="11" fillId="0" borderId="0" xfId="6" applyNumberFormat="1" applyFont="1" applyFill="1" applyAlignment="1">
      <alignment horizontal="right" vertical="top" shrinkToFit="1"/>
    </xf>
    <xf numFmtId="0" fontId="11" fillId="0" borderId="3" xfId="7" applyFont="1" applyFill="1" applyBorder="1" applyAlignment="1">
      <alignment horizontal="center" vertical="top" shrinkToFit="1"/>
    </xf>
    <xf numFmtId="49" fontId="11" fillId="0" borderId="3" xfId="7" applyNumberFormat="1" applyFont="1" applyFill="1" applyBorder="1" applyAlignment="1">
      <alignment horizontal="center" vertical="top" wrapText="1"/>
    </xf>
    <xf numFmtId="0" fontId="11" fillId="0" borderId="3" xfId="7" applyFont="1" applyFill="1" applyBorder="1" applyAlignment="1">
      <alignment horizontal="center" vertical="top" wrapText="1"/>
    </xf>
    <xf numFmtId="0" fontId="12" fillId="0" borderId="3" xfId="7" applyFont="1" applyFill="1" applyBorder="1" applyAlignment="1">
      <alignment vertical="top"/>
    </xf>
    <xf numFmtId="0" fontId="12" fillId="0" borderId="0" xfId="7" applyFont="1" applyFill="1" applyAlignment="1">
      <alignment vertical="top"/>
    </xf>
    <xf numFmtId="0" fontId="12" fillId="0" borderId="3" xfId="7" applyFont="1" applyFill="1" applyBorder="1" applyAlignment="1">
      <alignment horizontal="center" vertical="top"/>
    </xf>
    <xf numFmtId="49" fontId="12" fillId="0" borderId="3" xfId="8" applyNumberFormat="1" applyFont="1" applyFill="1" applyBorder="1" applyAlignment="1">
      <alignment horizontal="center" vertical="top" wrapText="1"/>
    </xf>
    <xf numFmtId="193" fontId="12" fillId="0" borderId="3" xfId="8" applyNumberFormat="1" applyFont="1" applyFill="1" applyBorder="1" applyAlignment="1">
      <alignment horizontal="center" vertical="top" wrapText="1"/>
    </xf>
    <xf numFmtId="0" fontId="12" fillId="0" borderId="3" xfId="8" applyFont="1" applyFill="1" applyBorder="1" applyAlignment="1">
      <alignment horizontal="center" vertical="top" wrapText="1"/>
    </xf>
    <xf numFmtId="0" fontId="24" fillId="0" borderId="3" xfId="0" applyFont="1" applyBorder="1"/>
    <xf numFmtId="0" fontId="12" fillId="0" borderId="3" xfId="8" applyFont="1" applyFill="1" applyBorder="1" applyAlignment="1">
      <alignment vertical="top" wrapText="1"/>
    </xf>
    <xf numFmtId="43" fontId="12" fillId="0" borderId="3" xfId="1" applyFont="1" applyFill="1" applyBorder="1" applyAlignment="1">
      <alignment vertical="top"/>
    </xf>
    <xf numFmtId="0" fontId="11" fillId="0" borderId="0" xfId="7" applyFont="1" applyFill="1" applyBorder="1" applyAlignment="1">
      <alignment vertical="top" wrapText="1"/>
    </xf>
    <xf numFmtId="0" fontId="12" fillId="0" borderId="2" xfId="7" applyFont="1" applyFill="1" applyBorder="1" applyAlignment="1">
      <alignment horizontal="center" vertical="top"/>
    </xf>
    <xf numFmtId="49" fontId="12" fillId="0" borderId="2" xfId="8" applyNumberFormat="1" applyFont="1" applyFill="1" applyBorder="1" applyAlignment="1">
      <alignment horizontal="center" vertical="top" wrapText="1"/>
    </xf>
    <xf numFmtId="193" fontId="12" fillId="0" borderId="2" xfId="8" applyNumberFormat="1" applyFont="1" applyFill="1" applyBorder="1" applyAlignment="1">
      <alignment horizontal="center" vertical="top" wrapText="1"/>
    </xf>
    <xf numFmtId="0" fontId="12" fillId="0" borderId="2" xfId="8" applyFont="1" applyFill="1" applyBorder="1" applyAlignment="1">
      <alignment horizontal="center" vertical="top" wrapText="1"/>
    </xf>
    <xf numFmtId="0" fontId="24" fillId="0" borderId="2" xfId="0" applyFont="1" applyBorder="1"/>
    <xf numFmtId="0" fontId="12" fillId="0" borderId="2" xfId="8" applyFont="1" applyFill="1" applyBorder="1" applyAlignment="1">
      <alignment vertical="top" wrapText="1"/>
    </xf>
    <xf numFmtId="43" fontId="12" fillId="0" borderId="2" xfId="1" applyFont="1" applyFill="1" applyBorder="1" applyAlignment="1">
      <alignment vertical="top"/>
    </xf>
    <xf numFmtId="0" fontId="11" fillId="0" borderId="0" xfId="7" applyFont="1" applyFill="1" applyAlignment="1">
      <alignment vertical="top" wrapText="1"/>
    </xf>
    <xf numFmtId="0" fontId="20" fillId="0" borderId="0" xfId="7" applyFont="1" applyFill="1" applyAlignment="1">
      <alignment vertical="top" wrapText="1"/>
    </xf>
    <xf numFmtId="0" fontId="25" fillId="0" borderId="0" xfId="7" applyFont="1" applyFill="1" applyAlignment="1">
      <alignment vertical="top"/>
    </xf>
    <xf numFmtId="43" fontId="12" fillId="0" borderId="3" xfId="1" applyFont="1" applyFill="1" applyBorder="1" applyAlignment="1">
      <alignment horizontal="center" vertical="top"/>
    </xf>
    <xf numFmtId="49" fontId="12" fillId="0" borderId="3" xfId="9" applyNumberFormat="1" applyFont="1" applyFill="1" applyBorder="1" applyAlignment="1">
      <alignment horizontal="center" vertical="top" wrapText="1"/>
    </xf>
    <xf numFmtId="193" fontId="12" fillId="0" borderId="3" xfId="9" applyNumberFormat="1" applyFont="1" applyFill="1" applyBorder="1" applyAlignment="1">
      <alignment horizontal="center" vertical="top" wrapText="1"/>
    </xf>
    <xf numFmtId="0" fontId="12" fillId="0" borderId="3" xfId="9" applyFont="1" applyFill="1" applyBorder="1" applyAlignment="1">
      <alignment horizontal="left" vertical="top" wrapText="1"/>
    </xf>
    <xf numFmtId="0" fontId="24" fillId="0" borderId="3" xfId="0" applyFont="1" applyBorder="1" applyAlignment="1">
      <alignment horizontal="justify"/>
    </xf>
    <xf numFmtId="0" fontId="12" fillId="0" borderId="3" xfId="9" applyFont="1" applyFill="1" applyBorder="1" applyAlignment="1">
      <alignment vertical="top" wrapText="1"/>
    </xf>
    <xf numFmtId="0" fontId="12" fillId="0" borderId="3" xfId="7" applyFont="1" applyFill="1" applyBorder="1" applyAlignment="1">
      <alignment vertical="top" wrapText="1"/>
    </xf>
    <xf numFmtId="0" fontId="12" fillId="0" borderId="3" xfId="6" applyFont="1" applyFill="1" applyBorder="1" applyAlignment="1">
      <alignment vertical="top" wrapText="1"/>
    </xf>
    <xf numFmtId="43" fontId="12" fillId="0" borderId="3" xfId="10" applyFont="1" applyFill="1" applyBorder="1" applyAlignment="1">
      <alignment horizontal="right" vertical="top" shrinkToFit="1"/>
    </xf>
    <xf numFmtId="49" fontId="12" fillId="0" borderId="23" xfId="9" applyNumberFormat="1" applyFont="1" applyFill="1" applyBorder="1" applyAlignment="1">
      <alignment horizontal="center" vertical="top" wrapText="1"/>
    </xf>
    <xf numFmtId="193" fontId="12" fillId="0" borderId="23" xfId="9" applyNumberFormat="1" applyFont="1" applyFill="1" applyBorder="1" applyAlignment="1">
      <alignment horizontal="center" vertical="top" wrapText="1"/>
    </xf>
    <xf numFmtId="0" fontId="12" fillId="0" borderId="23" xfId="9" applyFont="1" applyFill="1" applyBorder="1" applyAlignment="1">
      <alignment horizontal="left" vertical="top" wrapText="1"/>
    </xf>
    <xf numFmtId="0" fontId="24" fillId="0" borderId="26" xfId="0" applyFont="1" applyBorder="1" applyAlignment="1">
      <alignment horizontal="justify"/>
    </xf>
    <xf numFmtId="43" fontId="12" fillId="0" borderId="0" xfId="1" applyFont="1" applyFill="1" applyBorder="1" applyAlignment="1">
      <alignment vertical="top"/>
    </xf>
    <xf numFmtId="49" fontId="11" fillId="0" borderId="23" xfId="7" applyNumberFormat="1" applyFont="1" applyFill="1" applyBorder="1" applyAlignment="1">
      <alignment vertical="top"/>
    </xf>
    <xf numFmtId="0" fontId="11" fillId="0" borderId="23" xfId="7" applyFont="1" applyFill="1" applyBorder="1" applyAlignment="1">
      <alignment vertical="top"/>
    </xf>
    <xf numFmtId="0" fontId="11" fillId="0" borderId="26" xfId="7" applyFont="1" applyFill="1" applyBorder="1" applyAlignment="1">
      <alignment horizontal="right" vertical="top"/>
    </xf>
    <xf numFmtId="0" fontId="11" fillId="0" borderId="3" xfId="7" applyFont="1" applyFill="1" applyBorder="1" applyAlignment="1">
      <alignment horizontal="center" vertical="top"/>
    </xf>
    <xf numFmtId="43" fontId="11" fillId="0" borderId="3" xfId="7" applyNumberFormat="1" applyFont="1" applyFill="1" applyBorder="1" applyAlignment="1">
      <alignment vertical="top"/>
    </xf>
    <xf numFmtId="0" fontId="11" fillId="0" borderId="3" xfId="7" applyFont="1" applyFill="1" applyBorder="1" applyAlignment="1">
      <alignment vertical="top"/>
    </xf>
    <xf numFmtId="43" fontId="12" fillId="0" borderId="0" xfId="7" applyNumberFormat="1" applyFont="1" applyFill="1" applyAlignment="1">
      <alignment vertical="top"/>
    </xf>
    <xf numFmtId="0" fontId="18" fillId="0" borderId="0" xfId="7" applyFont="1" applyFill="1" applyAlignment="1">
      <alignment horizontal="center" vertical="top"/>
    </xf>
    <xf numFmtId="49" fontId="18" fillId="0" borderId="0" xfId="7" applyNumberFormat="1" applyFont="1" applyFill="1" applyAlignment="1">
      <alignment horizontal="center" vertical="top"/>
    </xf>
    <xf numFmtId="43" fontId="18" fillId="0" borderId="0" xfId="7" applyNumberFormat="1" applyFont="1" applyFill="1" applyAlignment="1">
      <alignment vertical="top"/>
    </xf>
    <xf numFmtId="0" fontId="18" fillId="0" borderId="0" xfId="7" applyFont="1" applyFill="1" applyAlignment="1">
      <alignment horizontal="left" vertical="top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91" fontId="18" fillId="0" borderId="0" xfId="2" applyNumberFormat="1" applyFont="1" applyFill="1" applyBorder="1" applyAlignment="1">
      <alignment horizontal="right" vertical="top" wrapText="1"/>
    </xf>
    <xf numFmtId="0" fontId="11" fillId="0" borderId="2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91" fontId="18" fillId="0" borderId="0" xfId="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22" xfId="2" applyFont="1" applyFill="1" applyBorder="1" applyAlignment="1">
      <alignment horizontal="center" vertical="center" wrapText="1"/>
    </xf>
    <xf numFmtId="0" fontId="20" fillId="0" borderId="26" xfId="2" applyFont="1" applyFill="1" applyBorder="1" applyAlignment="1">
      <alignment horizontal="center" vertical="center" wrapText="1"/>
    </xf>
    <xf numFmtId="191" fontId="20" fillId="0" borderId="4" xfId="2" applyNumberFormat="1" applyFont="1" applyFill="1" applyBorder="1" applyAlignment="1">
      <alignment horizontal="center" vertical="center" wrapText="1"/>
    </xf>
    <xf numFmtId="191" fontId="20" fillId="0" borderId="2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1">
    <cellStyle name="Comma" xfId="1" builtinId="3"/>
    <cellStyle name="Normal" xfId="0" builtinId="0"/>
    <cellStyle name="Normal 2" xfId="2"/>
    <cellStyle name="เครื่องหมายจุลภาค 2" xfId="3"/>
    <cellStyle name="เครื่องหมายจุลภาค 2 2" xfId="10"/>
    <cellStyle name="เครื่องหมายจุลภาค 3" xfId="4"/>
    <cellStyle name="ปกติ 2" xfId="5"/>
    <cellStyle name="ปกติ 3" xfId="7"/>
    <cellStyle name="ปกติ 4" xfId="8"/>
    <cellStyle name="ปกติ 4 2" xfId="9"/>
    <cellStyle name="ปกติ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K58"/>
  <sheetViews>
    <sheetView view="pageBreakPreview" topLeftCell="A25" zoomScale="85" zoomScaleNormal="75" workbookViewId="0">
      <selection activeCell="A20" sqref="A20"/>
    </sheetView>
  </sheetViews>
  <sheetFormatPr defaultColWidth="19.5703125" defaultRowHeight="24" x14ac:dyDescent="0.55000000000000004"/>
  <cols>
    <col min="1" max="2" width="19.5703125" style="17"/>
    <col min="3" max="3" width="10.7109375" style="17" customWidth="1"/>
    <col min="4" max="16384" width="19.5703125" style="17"/>
  </cols>
  <sheetData>
    <row r="1" spans="1:7" ht="27.75" x14ac:dyDescent="0.65">
      <c r="A1" s="258" t="s">
        <v>30</v>
      </c>
      <c r="B1" s="258"/>
      <c r="C1" s="258"/>
      <c r="D1" s="258"/>
      <c r="E1" s="258"/>
      <c r="F1" s="258"/>
    </row>
    <row r="2" spans="1:7" x14ac:dyDescent="0.55000000000000004">
      <c r="A2" s="259" t="s">
        <v>179</v>
      </c>
      <c r="B2" s="259"/>
      <c r="C2" s="259"/>
      <c r="D2" s="259"/>
      <c r="E2" s="259"/>
      <c r="F2" s="259"/>
    </row>
    <row r="3" spans="1:7" x14ac:dyDescent="0.55000000000000004">
      <c r="A3" s="260" t="s">
        <v>355</v>
      </c>
      <c r="B3" s="260"/>
      <c r="C3" s="260"/>
      <c r="D3" s="260"/>
      <c r="E3" s="260"/>
      <c r="F3" s="260"/>
    </row>
    <row r="4" spans="1:7" x14ac:dyDescent="0.55000000000000004">
      <c r="A4" s="261" t="s">
        <v>21</v>
      </c>
      <c r="B4" s="262"/>
      <c r="C4" s="263"/>
      <c r="D4" s="65" t="s">
        <v>113</v>
      </c>
      <c r="E4" s="65" t="s">
        <v>114</v>
      </c>
      <c r="F4" s="65" t="s">
        <v>115</v>
      </c>
    </row>
    <row r="5" spans="1:7" x14ac:dyDescent="0.55000000000000004">
      <c r="A5" s="176" t="s">
        <v>2</v>
      </c>
      <c r="B5" s="112"/>
      <c r="C5" s="112"/>
      <c r="D5" s="114">
        <v>111100</v>
      </c>
      <c r="E5" s="66">
        <v>20</v>
      </c>
      <c r="F5" s="66">
        <v>0</v>
      </c>
    </row>
    <row r="6" spans="1:7" x14ac:dyDescent="0.55000000000000004">
      <c r="A6" s="177" t="s">
        <v>117</v>
      </c>
      <c r="B6" s="71"/>
      <c r="C6" s="71"/>
      <c r="D6" s="106">
        <v>111201</v>
      </c>
      <c r="E6" s="66">
        <v>2188096.86</v>
      </c>
      <c r="F6" s="66">
        <v>0</v>
      </c>
    </row>
    <row r="7" spans="1:7" x14ac:dyDescent="0.55000000000000004">
      <c r="A7" s="177" t="s">
        <v>118</v>
      </c>
      <c r="B7" s="71"/>
      <c r="C7" s="71"/>
      <c r="D7" s="106">
        <v>111202</v>
      </c>
      <c r="E7" s="66">
        <v>12637657.689999999</v>
      </c>
      <c r="F7" s="66">
        <v>0</v>
      </c>
    </row>
    <row r="8" spans="1:7" x14ac:dyDescent="0.55000000000000004">
      <c r="A8" s="177" t="s">
        <v>116</v>
      </c>
      <c r="B8" s="71"/>
      <c r="C8" s="71"/>
      <c r="D8" s="106">
        <v>111203</v>
      </c>
      <c r="E8" s="66">
        <v>172794.27</v>
      </c>
      <c r="F8" s="66">
        <v>0</v>
      </c>
      <c r="G8" s="67"/>
    </row>
    <row r="9" spans="1:7" x14ac:dyDescent="0.55000000000000004">
      <c r="A9" s="177" t="s">
        <v>121</v>
      </c>
      <c r="B9" s="71"/>
      <c r="C9" s="71"/>
      <c r="D9" s="51">
        <v>112002</v>
      </c>
      <c r="E9" s="66">
        <v>7428035.8099999996</v>
      </c>
      <c r="F9" s="66">
        <v>0</v>
      </c>
    </row>
    <row r="10" spans="1:7" x14ac:dyDescent="0.55000000000000004">
      <c r="A10" s="177" t="s">
        <v>206</v>
      </c>
      <c r="B10" s="71"/>
      <c r="C10" s="71"/>
      <c r="D10" s="106">
        <v>113100</v>
      </c>
      <c r="E10" s="66">
        <v>35640</v>
      </c>
      <c r="F10" s="66">
        <v>0</v>
      </c>
    </row>
    <row r="11" spans="1:7" x14ac:dyDescent="0.55000000000000004">
      <c r="A11" s="177" t="s">
        <v>122</v>
      </c>
      <c r="B11" s="71"/>
      <c r="C11" s="71"/>
      <c r="D11" s="106">
        <v>113301</v>
      </c>
      <c r="E11" s="66">
        <v>22920</v>
      </c>
      <c r="F11" s="66">
        <v>0</v>
      </c>
    </row>
    <row r="12" spans="1:7" x14ac:dyDescent="0.55000000000000004">
      <c r="A12" s="177" t="s">
        <v>119</v>
      </c>
      <c r="B12" s="71"/>
      <c r="C12" s="71"/>
      <c r="D12" s="106">
        <v>113302</v>
      </c>
      <c r="E12" s="66">
        <v>5679.62</v>
      </c>
      <c r="F12" s="66">
        <v>0</v>
      </c>
    </row>
    <row r="13" spans="1:7" x14ac:dyDescent="0.55000000000000004">
      <c r="A13" s="177" t="s">
        <v>170</v>
      </c>
      <c r="B13" s="71"/>
      <c r="C13" s="71"/>
      <c r="D13" s="106">
        <v>113303</v>
      </c>
      <c r="E13" s="66">
        <v>9880</v>
      </c>
      <c r="F13" s="66"/>
    </row>
    <row r="14" spans="1:7" x14ac:dyDescent="0.55000000000000004">
      <c r="A14" s="177" t="s">
        <v>209</v>
      </c>
      <c r="B14" s="71"/>
      <c r="C14" s="71"/>
      <c r="D14" s="106">
        <v>113400</v>
      </c>
      <c r="E14" s="66">
        <v>327455</v>
      </c>
      <c r="F14" s="66">
        <v>0</v>
      </c>
    </row>
    <row r="15" spans="1:7" x14ac:dyDescent="0.55000000000000004">
      <c r="A15" s="177" t="s">
        <v>140</v>
      </c>
      <c r="B15" s="71"/>
      <c r="C15" s="71"/>
      <c r="D15" s="106">
        <v>113700</v>
      </c>
      <c r="E15" s="66">
        <v>0</v>
      </c>
      <c r="F15" s="66">
        <v>0</v>
      </c>
    </row>
    <row r="16" spans="1:7" x14ac:dyDescent="0.55000000000000004">
      <c r="A16" s="177" t="s">
        <v>141</v>
      </c>
      <c r="B16" s="71"/>
      <c r="C16" s="71"/>
      <c r="D16" s="51">
        <v>121000</v>
      </c>
      <c r="E16" s="66">
        <v>18544058.370000001</v>
      </c>
      <c r="F16" s="66">
        <v>0</v>
      </c>
    </row>
    <row r="17" spans="1:6" x14ac:dyDescent="0.55000000000000004">
      <c r="A17" s="177" t="s">
        <v>143</v>
      </c>
      <c r="B17" s="71"/>
      <c r="C17" s="71"/>
      <c r="D17" s="51">
        <v>190001</v>
      </c>
      <c r="E17" s="66">
        <v>0</v>
      </c>
      <c r="F17" s="66">
        <v>47382883.280000001</v>
      </c>
    </row>
    <row r="18" spans="1:6" x14ac:dyDescent="0.55000000000000004">
      <c r="A18" s="177" t="s">
        <v>208</v>
      </c>
      <c r="B18" s="71"/>
      <c r="C18" s="71"/>
      <c r="D18" s="51">
        <v>190004</v>
      </c>
      <c r="E18" s="66"/>
      <c r="F18" s="66"/>
    </row>
    <row r="19" spans="1:6" x14ac:dyDescent="0.55000000000000004">
      <c r="A19" s="177" t="s">
        <v>354</v>
      </c>
      <c r="B19" s="71"/>
      <c r="C19" s="71"/>
      <c r="D19" s="51">
        <v>210200</v>
      </c>
      <c r="E19" s="66"/>
      <c r="F19" s="66">
        <v>35640</v>
      </c>
    </row>
    <row r="20" spans="1:6" x14ac:dyDescent="0.55000000000000004">
      <c r="A20" s="177" t="s">
        <v>210</v>
      </c>
      <c r="B20" s="71"/>
      <c r="C20" s="71"/>
      <c r="D20" s="51">
        <v>211000</v>
      </c>
      <c r="E20" s="66">
        <v>0</v>
      </c>
      <c r="F20" s="66">
        <v>750200</v>
      </c>
    </row>
    <row r="21" spans="1:6" x14ac:dyDescent="0.55000000000000004">
      <c r="A21" s="177" t="s">
        <v>211</v>
      </c>
      <c r="B21" s="71"/>
      <c r="C21" s="71"/>
      <c r="D21" s="51">
        <v>215000</v>
      </c>
      <c r="E21" s="66">
        <v>0</v>
      </c>
      <c r="F21" s="66">
        <v>875052.96</v>
      </c>
    </row>
    <row r="22" spans="1:6" x14ac:dyDescent="0.55000000000000004">
      <c r="A22" s="177" t="s">
        <v>142</v>
      </c>
      <c r="B22" s="71"/>
      <c r="C22" s="71"/>
      <c r="D22" s="51">
        <v>221202</v>
      </c>
      <c r="E22" s="66"/>
      <c r="F22" s="66">
        <v>10123384.119999999</v>
      </c>
    </row>
    <row r="23" spans="1:6" x14ac:dyDescent="0.55000000000000004">
      <c r="A23" s="177" t="s">
        <v>207</v>
      </c>
      <c r="B23" s="71"/>
      <c r="C23" s="71"/>
      <c r="D23" s="51">
        <v>290001</v>
      </c>
      <c r="E23" s="66"/>
      <c r="F23" s="66">
        <v>0</v>
      </c>
    </row>
    <row r="24" spans="1:6" x14ac:dyDescent="0.55000000000000004">
      <c r="A24" s="177" t="s">
        <v>120</v>
      </c>
      <c r="B24" s="71"/>
      <c r="C24" s="71"/>
      <c r="D24" s="51">
        <v>310000</v>
      </c>
      <c r="E24" s="66">
        <v>0</v>
      </c>
      <c r="F24" s="66">
        <v>16859882.030000001</v>
      </c>
    </row>
    <row r="25" spans="1:6" x14ac:dyDescent="0.55000000000000004">
      <c r="A25" s="177" t="s">
        <v>89</v>
      </c>
      <c r="B25" s="71"/>
      <c r="C25" s="71"/>
      <c r="D25" s="106">
        <v>320000</v>
      </c>
      <c r="E25" s="66">
        <v>0</v>
      </c>
      <c r="F25" s="66">
        <v>12514324.09</v>
      </c>
    </row>
    <row r="26" spans="1:6" x14ac:dyDescent="0.55000000000000004">
      <c r="A26" s="177" t="s">
        <v>23</v>
      </c>
      <c r="B26" s="71"/>
      <c r="C26" s="71"/>
      <c r="D26" s="106">
        <v>511000</v>
      </c>
      <c r="E26" s="66">
        <v>8248698.6600000001</v>
      </c>
      <c r="F26" s="66">
        <v>0</v>
      </c>
    </row>
    <row r="27" spans="1:6" x14ac:dyDescent="0.55000000000000004">
      <c r="A27" s="177" t="s">
        <v>144</v>
      </c>
      <c r="B27" s="71"/>
      <c r="C27" s="71"/>
      <c r="D27" s="51">
        <v>521000</v>
      </c>
      <c r="E27" s="66">
        <v>2373600</v>
      </c>
      <c r="F27" s="66">
        <v>0</v>
      </c>
    </row>
    <row r="28" spans="1:6" x14ac:dyDescent="0.55000000000000004">
      <c r="A28" s="177" t="s">
        <v>145</v>
      </c>
      <c r="B28" s="71"/>
      <c r="C28" s="71"/>
      <c r="D28" s="51">
        <v>522000</v>
      </c>
      <c r="E28" s="66">
        <v>10675724.07</v>
      </c>
      <c r="F28" s="66">
        <v>0</v>
      </c>
    </row>
    <row r="29" spans="1:6" x14ac:dyDescent="0.55000000000000004">
      <c r="A29" s="177" t="s">
        <v>25</v>
      </c>
      <c r="B29" s="71"/>
      <c r="C29" s="71"/>
      <c r="D29" s="51">
        <v>531000</v>
      </c>
      <c r="E29" s="66">
        <v>1316504</v>
      </c>
      <c r="F29" s="66">
        <v>0</v>
      </c>
    </row>
    <row r="30" spans="1:6" x14ac:dyDescent="0.55000000000000004">
      <c r="A30" s="177" t="s">
        <v>26</v>
      </c>
      <c r="B30" s="71"/>
      <c r="C30" s="71"/>
      <c r="D30" s="51">
        <v>532000</v>
      </c>
      <c r="E30" s="66">
        <v>7209213.8799999999</v>
      </c>
      <c r="F30" s="66">
        <v>0</v>
      </c>
    </row>
    <row r="31" spans="1:6" x14ac:dyDescent="0.55000000000000004">
      <c r="A31" s="177" t="s">
        <v>27</v>
      </c>
      <c r="B31" s="71"/>
      <c r="C31" s="71"/>
      <c r="D31" s="51">
        <v>533000</v>
      </c>
      <c r="E31" s="66">
        <v>4203810.17</v>
      </c>
      <c r="F31" s="66">
        <v>0</v>
      </c>
    </row>
    <row r="32" spans="1:6" x14ac:dyDescent="0.55000000000000004">
      <c r="A32" s="177" t="s">
        <v>28</v>
      </c>
      <c r="B32" s="71"/>
      <c r="C32" s="71"/>
      <c r="D32" s="51">
        <v>534000</v>
      </c>
      <c r="E32" s="66">
        <v>858136.31</v>
      </c>
      <c r="F32" s="66">
        <v>0</v>
      </c>
    </row>
    <row r="33" spans="1:11" x14ac:dyDescent="0.55000000000000004">
      <c r="A33" s="177" t="s">
        <v>51</v>
      </c>
      <c r="B33" s="71"/>
      <c r="C33" s="71"/>
      <c r="D33" s="51">
        <v>541000</v>
      </c>
      <c r="E33" s="66">
        <v>2003840</v>
      </c>
      <c r="F33" s="66">
        <v>0</v>
      </c>
    </row>
    <row r="34" spans="1:11" x14ac:dyDescent="0.55000000000000004">
      <c r="A34" s="177" t="s">
        <v>52</v>
      </c>
      <c r="B34" s="71"/>
      <c r="C34" s="71"/>
      <c r="D34" s="51">
        <v>542000</v>
      </c>
      <c r="E34" s="66">
        <v>7282970</v>
      </c>
      <c r="F34" s="66">
        <v>0</v>
      </c>
    </row>
    <row r="35" spans="1:11" x14ac:dyDescent="0.55000000000000004">
      <c r="A35" s="177" t="s">
        <v>56</v>
      </c>
      <c r="B35" s="71"/>
      <c r="C35" s="71"/>
      <c r="D35" s="51">
        <v>551000</v>
      </c>
      <c r="E35" s="66">
        <v>0</v>
      </c>
      <c r="F35" s="66">
        <v>0</v>
      </c>
    </row>
    <row r="36" spans="1:11" x14ac:dyDescent="0.55000000000000004">
      <c r="A36" s="178" t="s">
        <v>29</v>
      </c>
      <c r="B36" s="113"/>
      <c r="C36" s="113"/>
      <c r="D36" s="51">
        <v>561000</v>
      </c>
      <c r="E36" s="66">
        <v>2996631.77</v>
      </c>
      <c r="F36" s="66">
        <v>0</v>
      </c>
    </row>
    <row r="37" spans="1:11" x14ac:dyDescent="0.55000000000000004">
      <c r="A37" s="104"/>
      <c r="B37" s="105"/>
      <c r="C37" s="105"/>
      <c r="D37" s="32"/>
      <c r="E37" s="96">
        <f>SUM(E5:E36)</f>
        <v>88541366.480000004</v>
      </c>
      <c r="F37" s="96">
        <f>SUM(F5:F36)</f>
        <v>88541366.480000004</v>
      </c>
      <c r="G37" s="67">
        <f>SUM(E37-F37)</f>
        <v>0</v>
      </c>
    </row>
    <row r="38" spans="1:11" x14ac:dyDescent="0.55000000000000004">
      <c r="E38" s="97"/>
      <c r="F38" s="68"/>
    </row>
    <row r="39" spans="1:11" x14ac:dyDescent="0.55000000000000004">
      <c r="E39" s="97"/>
      <c r="F39" s="68"/>
    </row>
    <row r="40" spans="1:11" x14ac:dyDescent="0.55000000000000004">
      <c r="E40" s="97"/>
      <c r="F40" s="68"/>
    </row>
    <row r="41" spans="1:11" x14ac:dyDescent="0.55000000000000004">
      <c r="A41" s="264" t="s">
        <v>147</v>
      </c>
      <c r="B41" s="264"/>
      <c r="C41" s="264" t="s">
        <v>148</v>
      </c>
      <c r="D41" s="264"/>
      <c r="E41" s="264" t="s">
        <v>147</v>
      </c>
      <c r="F41" s="264"/>
    </row>
    <row r="42" spans="1:11" s="16" customFormat="1" x14ac:dyDescent="0.55000000000000004">
      <c r="A42" s="259" t="s">
        <v>192</v>
      </c>
      <c r="B42" s="259"/>
      <c r="C42" s="259" t="s">
        <v>213</v>
      </c>
      <c r="D42" s="259"/>
      <c r="E42" s="259" t="s">
        <v>193</v>
      </c>
      <c r="F42" s="259"/>
    </row>
    <row r="43" spans="1:11" x14ac:dyDescent="0.55000000000000004">
      <c r="A43" s="259" t="s">
        <v>171</v>
      </c>
      <c r="B43" s="259"/>
      <c r="C43" s="259" t="s">
        <v>126</v>
      </c>
      <c r="D43" s="259"/>
      <c r="E43" s="259" t="s">
        <v>127</v>
      </c>
      <c r="F43" s="259"/>
      <c r="G43" s="14"/>
      <c r="H43" s="14"/>
      <c r="J43" s="14"/>
      <c r="K43" s="14"/>
    </row>
    <row r="44" spans="1:11" x14ac:dyDescent="0.55000000000000004">
      <c r="A44" s="259"/>
      <c r="B44" s="259"/>
      <c r="C44" s="259"/>
      <c r="D44" s="259"/>
      <c r="E44" s="259"/>
      <c r="F44" s="259"/>
      <c r="G44" s="14"/>
      <c r="H44" s="14"/>
      <c r="J44" s="14"/>
      <c r="K44" s="14"/>
    </row>
    <row r="45" spans="1:11" x14ac:dyDescent="0.55000000000000004">
      <c r="E45" s="97"/>
      <c r="F45" s="68"/>
    </row>
    <row r="46" spans="1:11" x14ac:dyDescent="0.55000000000000004">
      <c r="E46" s="68"/>
      <c r="F46" s="68"/>
    </row>
    <row r="47" spans="1:11" x14ac:dyDescent="0.55000000000000004">
      <c r="E47" s="68"/>
      <c r="F47" s="68"/>
    </row>
    <row r="48" spans="1:11" x14ac:dyDescent="0.55000000000000004">
      <c r="E48" s="68"/>
      <c r="F48" s="68"/>
    </row>
    <row r="49" spans="5:6" x14ac:dyDescent="0.55000000000000004">
      <c r="E49" s="68"/>
      <c r="F49" s="68"/>
    </row>
    <row r="50" spans="5:6" x14ac:dyDescent="0.55000000000000004">
      <c r="E50" s="68"/>
      <c r="F50" s="68"/>
    </row>
    <row r="51" spans="5:6" x14ac:dyDescent="0.55000000000000004">
      <c r="E51" s="68"/>
      <c r="F51" s="68"/>
    </row>
    <row r="52" spans="5:6" x14ac:dyDescent="0.55000000000000004">
      <c r="E52" s="68"/>
      <c r="F52" s="68"/>
    </row>
    <row r="53" spans="5:6" x14ac:dyDescent="0.55000000000000004">
      <c r="E53" s="68"/>
      <c r="F53" s="68"/>
    </row>
    <row r="54" spans="5:6" x14ac:dyDescent="0.55000000000000004">
      <c r="E54" s="68"/>
      <c r="F54" s="68"/>
    </row>
    <row r="55" spans="5:6" x14ac:dyDescent="0.55000000000000004">
      <c r="E55" s="68"/>
      <c r="F55" s="68"/>
    </row>
    <row r="56" spans="5:6" x14ac:dyDescent="0.55000000000000004">
      <c r="E56" s="68"/>
      <c r="F56" s="68"/>
    </row>
    <row r="57" spans="5:6" x14ac:dyDescent="0.55000000000000004">
      <c r="E57" s="68"/>
      <c r="F57" s="68"/>
    </row>
    <row r="58" spans="5:6" x14ac:dyDescent="0.55000000000000004">
      <c r="E58" s="68"/>
      <c r="F58" s="68"/>
    </row>
  </sheetData>
  <mergeCells count="16">
    <mergeCell ref="A44:B44"/>
    <mergeCell ref="C44:D44"/>
    <mergeCell ref="E44:F44"/>
    <mergeCell ref="E41:F41"/>
    <mergeCell ref="A41:B41"/>
    <mergeCell ref="A43:B43"/>
    <mergeCell ref="C41:D41"/>
    <mergeCell ref="C43:D43"/>
    <mergeCell ref="E43:F43"/>
    <mergeCell ref="A42:B42"/>
    <mergeCell ref="A1:F1"/>
    <mergeCell ref="A2:F2"/>
    <mergeCell ref="A3:F3"/>
    <mergeCell ref="A4:C4"/>
    <mergeCell ref="C42:D42"/>
    <mergeCell ref="E42:F42"/>
  </mergeCells>
  <phoneticPr fontId="0" type="noConversion"/>
  <printOptions horizontalCentered="1"/>
  <pageMargins left="0.39370078740157483" right="0.39370078740157483" top="0.39370078740157483" bottom="0.19685039370078741" header="0.51181102362204722" footer="0.39370078740157483"/>
  <pageSetup paperSize="9" scale="80" orientation="portrait" horizontalDpi="180" verticalDpi="180" r:id="rId1"/>
  <headerFooter alignWithMargins="0"/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4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6384" width="19.7109375" style="17"/>
  </cols>
  <sheetData>
    <row r="1" spans="1:7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7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7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217</v>
      </c>
      <c r="F5" s="9"/>
    </row>
    <row r="7" spans="1:7" x14ac:dyDescent="0.55000000000000004">
      <c r="B7" s="17" t="s">
        <v>216</v>
      </c>
      <c r="F7" s="81"/>
    </row>
    <row r="8" spans="1:7" x14ac:dyDescent="0.55000000000000004">
      <c r="D8" s="107"/>
      <c r="F8" s="78"/>
    </row>
    <row r="9" spans="1:7" x14ac:dyDescent="0.55000000000000004">
      <c r="D9" s="107"/>
      <c r="F9" s="78"/>
    </row>
    <row r="10" spans="1:7" x14ac:dyDescent="0.55000000000000004">
      <c r="D10" s="107"/>
      <c r="F10" s="78"/>
    </row>
    <row r="11" spans="1:7" x14ac:dyDescent="0.55000000000000004">
      <c r="D11" s="107"/>
      <c r="F11" s="78"/>
    </row>
    <row r="12" spans="1:7" x14ac:dyDescent="0.55000000000000004">
      <c r="D12" s="107"/>
      <c r="F12" s="78"/>
    </row>
    <row r="13" spans="1:7" x14ac:dyDescent="0.55000000000000004">
      <c r="D13" s="107"/>
      <c r="F13" s="78"/>
    </row>
    <row r="14" spans="1:7" ht="24.75" thickBot="1" x14ac:dyDescent="0.6">
      <c r="B14" s="15" t="s">
        <v>9</v>
      </c>
      <c r="F14" s="84">
        <f>SUM(F7:F13)</f>
        <v>0</v>
      </c>
    </row>
    <row r="15" spans="1:7" ht="24.75" thickTop="1" x14ac:dyDescent="0.55000000000000004">
      <c r="B15" s="15"/>
      <c r="F15" s="37"/>
    </row>
    <row r="16" spans="1:7" x14ac:dyDescent="0.55000000000000004">
      <c r="B16" s="15"/>
      <c r="F16" s="37"/>
    </row>
    <row r="17" spans="1:11" x14ac:dyDescent="0.55000000000000004">
      <c r="B17" s="15"/>
      <c r="F17" s="37"/>
    </row>
    <row r="22" spans="1:11" x14ac:dyDescent="0.55000000000000004">
      <c r="A22" s="264" t="s">
        <v>147</v>
      </c>
      <c r="B22" s="264"/>
      <c r="C22" s="264" t="s">
        <v>148</v>
      </c>
      <c r="D22" s="264"/>
      <c r="E22" s="264" t="s">
        <v>147</v>
      </c>
      <c r="F22" s="264"/>
    </row>
    <row r="23" spans="1:11" s="16" customFormat="1" x14ac:dyDescent="0.55000000000000004">
      <c r="A23" s="259" t="s">
        <v>192</v>
      </c>
      <c r="B23" s="259"/>
      <c r="C23" s="259" t="s">
        <v>213</v>
      </c>
      <c r="D23" s="259"/>
      <c r="E23" s="259" t="s">
        <v>193</v>
      </c>
      <c r="F23" s="259"/>
    </row>
    <row r="24" spans="1:11" x14ac:dyDescent="0.55000000000000004">
      <c r="A24" s="259" t="s">
        <v>171</v>
      </c>
      <c r="B24" s="259"/>
      <c r="C24" s="259" t="s">
        <v>126</v>
      </c>
      <c r="D24" s="259"/>
      <c r="E24" s="259" t="s">
        <v>127</v>
      </c>
      <c r="F24" s="259"/>
      <c r="H24" s="14"/>
      <c r="J24" s="14"/>
      <c r="K24" s="14"/>
    </row>
    <row r="25" spans="1:11" x14ac:dyDescent="0.55000000000000004">
      <c r="A25" s="259"/>
      <c r="B25" s="259"/>
      <c r="C25" s="259"/>
      <c r="D25" s="259"/>
      <c r="E25" s="15"/>
      <c r="F25" s="259"/>
      <c r="G25" s="259"/>
      <c r="H25" s="14"/>
      <c r="J25" s="14"/>
      <c r="K25" s="14"/>
    </row>
    <row r="71" spans="1:6" x14ac:dyDescent="0.55000000000000004">
      <c r="A71" s="16" t="s">
        <v>0</v>
      </c>
    </row>
    <row r="73" spans="1:6" x14ac:dyDescent="0.55000000000000004">
      <c r="A73" s="16" t="s">
        <v>1</v>
      </c>
    </row>
    <row r="75" spans="1:6" x14ac:dyDescent="0.55000000000000004">
      <c r="A75" s="17" t="s">
        <v>2</v>
      </c>
      <c r="F75" s="81">
        <v>144</v>
      </c>
    </row>
    <row r="76" spans="1:6" x14ac:dyDescent="0.55000000000000004">
      <c r="A76" s="17" t="s">
        <v>3</v>
      </c>
      <c r="B76" s="17" t="s">
        <v>4</v>
      </c>
      <c r="C76" s="17" t="s">
        <v>68</v>
      </c>
      <c r="F76" s="85">
        <v>398122.09</v>
      </c>
    </row>
    <row r="77" spans="1:6" x14ac:dyDescent="0.55000000000000004">
      <c r="B77" s="17" t="s">
        <v>5</v>
      </c>
      <c r="C77" s="17" t="s">
        <v>66</v>
      </c>
      <c r="F77" s="85">
        <v>6105645.9900000002</v>
      </c>
    </row>
    <row r="78" spans="1:6" x14ac:dyDescent="0.55000000000000004">
      <c r="B78" s="17" t="s">
        <v>5</v>
      </c>
      <c r="C78" s="17" t="s">
        <v>67</v>
      </c>
      <c r="F78" s="85">
        <v>482.36</v>
      </c>
    </row>
    <row r="79" spans="1:6" x14ac:dyDescent="0.55000000000000004">
      <c r="B79" s="17" t="s">
        <v>6</v>
      </c>
      <c r="F79" s="85">
        <v>1242589.69</v>
      </c>
    </row>
    <row r="80" spans="1:6" x14ac:dyDescent="0.55000000000000004">
      <c r="B80" s="17" t="s">
        <v>69</v>
      </c>
      <c r="F80" s="78">
        <v>37804.57</v>
      </c>
    </row>
    <row r="81" spans="1:6" x14ac:dyDescent="0.55000000000000004">
      <c r="A81" s="17" t="s">
        <v>54</v>
      </c>
      <c r="F81" s="81" t="s">
        <v>7</v>
      </c>
    </row>
    <row r="82" spans="1:6" x14ac:dyDescent="0.55000000000000004">
      <c r="A82" s="17" t="s">
        <v>70</v>
      </c>
      <c r="F82" s="81" t="s">
        <v>7</v>
      </c>
    </row>
    <row r="83" spans="1:6" ht="24.75" thickBot="1" x14ac:dyDescent="0.6">
      <c r="B83" s="15" t="s">
        <v>9</v>
      </c>
      <c r="F83" s="84">
        <v>7784788.71</v>
      </c>
    </row>
    <row r="84" spans="1:6" ht="24.75" thickTop="1" x14ac:dyDescent="0.55000000000000004"/>
  </sheetData>
  <mergeCells count="12">
    <mergeCell ref="A24:B24"/>
    <mergeCell ref="C24:D24"/>
    <mergeCell ref="E24:F24"/>
    <mergeCell ref="A25:B25"/>
    <mergeCell ref="C25:D25"/>
    <mergeCell ref="F25:G25"/>
    <mergeCell ref="A22:B22"/>
    <mergeCell ref="C22:D22"/>
    <mergeCell ref="E22:F22"/>
    <mergeCell ref="A23:B23"/>
    <mergeCell ref="C23:D23"/>
    <mergeCell ref="E23:F23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96"/>
  <sheetViews>
    <sheetView topLeftCell="A22" zoomScale="90" workbookViewId="0">
      <selection activeCell="A33" sqref="A33:XFD33"/>
    </sheetView>
  </sheetViews>
  <sheetFormatPr defaultColWidth="19.7109375" defaultRowHeight="24" x14ac:dyDescent="0.55000000000000004"/>
  <cols>
    <col min="1" max="1" width="12.5703125" style="17" customWidth="1"/>
    <col min="2" max="2" width="28.5703125" style="17" bestFit="1" customWidth="1"/>
    <col min="3" max="5" width="19.7109375" style="17"/>
    <col min="6" max="6" width="15.5703125" style="17" customWidth="1"/>
    <col min="7" max="16384" width="19.7109375" style="17"/>
  </cols>
  <sheetData>
    <row r="1" spans="1:11" x14ac:dyDescent="0.55000000000000004">
      <c r="A1" s="259" t="s">
        <v>10</v>
      </c>
      <c r="B1" s="259"/>
      <c r="C1" s="259"/>
      <c r="D1" s="259"/>
      <c r="E1" s="259"/>
      <c r="F1" s="259"/>
      <c r="G1" s="45"/>
    </row>
    <row r="2" spans="1:11" x14ac:dyDescent="0.55000000000000004">
      <c r="A2" s="259" t="s">
        <v>214</v>
      </c>
      <c r="B2" s="259"/>
      <c r="C2" s="259"/>
      <c r="D2" s="259"/>
      <c r="E2" s="259"/>
      <c r="F2" s="259"/>
      <c r="G2" s="45"/>
    </row>
    <row r="3" spans="1:11" x14ac:dyDescent="0.55000000000000004">
      <c r="A3" s="259" t="s">
        <v>769</v>
      </c>
      <c r="B3" s="259"/>
      <c r="C3" s="259"/>
      <c r="D3" s="259"/>
      <c r="E3" s="259"/>
      <c r="F3" s="259"/>
      <c r="G3" s="45"/>
    </row>
    <row r="4" spans="1:11" x14ac:dyDescent="0.55000000000000004">
      <c r="A4" s="115"/>
      <c r="B4" s="115"/>
      <c r="C4" s="115"/>
      <c r="D4" s="115"/>
      <c r="E4" s="115"/>
      <c r="F4" s="115"/>
      <c r="G4" s="115"/>
    </row>
    <row r="5" spans="1:11" x14ac:dyDescent="0.55000000000000004">
      <c r="A5" s="16" t="s">
        <v>353</v>
      </c>
      <c r="F5" s="9"/>
    </row>
    <row r="7" spans="1:11" x14ac:dyDescent="0.55000000000000004">
      <c r="B7" s="21" t="s">
        <v>218</v>
      </c>
      <c r="C7" s="21" t="s">
        <v>219</v>
      </c>
      <c r="D7" s="21" t="s">
        <v>220</v>
      </c>
      <c r="E7" s="21" t="s">
        <v>35</v>
      </c>
      <c r="F7" s="79"/>
      <c r="G7" s="13"/>
      <c r="H7" s="13"/>
      <c r="I7" s="13"/>
      <c r="J7" s="13"/>
      <c r="K7" s="13"/>
    </row>
    <row r="8" spans="1:11" x14ac:dyDescent="0.55000000000000004">
      <c r="B8" s="12" t="s">
        <v>122</v>
      </c>
      <c r="C8" s="12">
        <v>2553</v>
      </c>
      <c r="D8" s="117">
        <v>1</v>
      </c>
      <c r="E8" s="118">
        <v>1000</v>
      </c>
      <c r="F8" s="78"/>
      <c r="G8" s="13"/>
      <c r="H8" s="13"/>
      <c r="I8" s="13"/>
      <c r="J8" s="13"/>
      <c r="K8" s="13"/>
    </row>
    <row r="9" spans="1:11" x14ac:dyDescent="0.55000000000000004">
      <c r="B9" s="12"/>
      <c r="C9" s="12">
        <v>2554</v>
      </c>
      <c r="D9" s="117">
        <v>3</v>
      </c>
      <c r="E9" s="118">
        <v>4000</v>
      </c>
      <c r="F9" s="78"/>
      <c r="G9" s="13"/>
      <c r="H9" s="13"/>
      <c r="I9" s="13"/>
      <c r="J9" s="13"/>
      <c r="K9" s="13"/>
    </row>
    <row r="10" spans="1:11" x14ac:dyDescent="0.55000000000000004">
      <c r="B10" s="12"/>
      <c r="C10" s="12">
        <v>2557</v>
      </c>
      <c r="D10" s="117">
        <v>2</v>
      </c>
      <c r="E10" s="118">
        <v>2500</v>
      </c>
      <c r="F10" s="78"/>
      <c r="G10" s="13"/>
      <c r="H10" s="13"/>
      <c r="I10" s="13"/>
      <c r="J10" s="13"/>
      <c r="K10" s="13"/>
    </row>
    <row r="11" spans="1:11" x14ac:dyDescent="0.55000000000000004">
      <c r="B11" s="12"/>
      <c r="C11" s="12">
        <v>2558</v>
      </c>
      <c r="D11" s="117">
        <v>3</v>
      </c>
      <c r="E11" s="118">
        <v>3720</v>
      </c>
      <c r="F11" s="78"/>
      <c r="G11" s="13"/>
      <c r="H11" s="13"/>
      <c r="I11" s="13"/>
      <c r="J11" s="13"/>
      <c r="K11" s="13"/>
    </row>
    <row r="12" spans="1:11" x14ac:dyDescent="0.55000000000000004">
      <c r="B12" s="12"/>
      <c r="C12" s="12">
        <v>2559</v>
      </c>
      <c r="D12" s="117">
        <v>7</v>
      </c>
      <c r="E12" s="118">
        <v>11700</v>
      </c>
      <c r="F12" s="78"/>
      <c r="G12" s="13"/>
      <c r="H12" s="13"/>
      <c r="I12" s="13"/>
      <c r="J12" s="13"/>
      <c r="K12" s="13"/>
    </row>
    <row r="13" spans="1:11" x14ac:dyDescent="0.55000000000000004">
      <c r="B13" s="269" t="s">
        <v>9</v>
      </c>
      <c r="C13" s="270"/>
      <c r="D13" s="117">
        <f>SUM(D8:D12)</f>
        <v>16</v>
      </c>
      <c r="E13" s="118">
        <f>SUM(E8:E12)</f>
        <v>22920</v>
      </c>
      <c r="F13" s="78"/>
      <c r="G13" s="13"/>
      <c r="H13" s="13"/>
      <c r="I13" s="13"/>
      <c r="J13" s="13"/>
      <c r="K13" s="13"/>
    </row>
    <row r="14" spans="1:11" x14ac:dyDescent="0.55000000000000004">
      <c r="B14" s="119" t="s">
        <v>119</v>
      </c>
      <c r="C14" s="12">
        <v>2548</v>
      </c>
      <c r="D14" s="12">
        <v>1</v>
      </c>
      <c r="E14" s="118">
        <v>181.74</v>
      </c>
      <c r="F14" s="37"/>
      <c r="G14" s="13"/>
      <c r="H14" s="13"/>
      <c r="I14" s="13"/>
      <c r="J14" s="13"/>
      <c r="K14" s="13"/>
    </row>
    <row r="15" spans="1:11" x14ac:dyDescent="0.55000000000000004">
      <c r="B15" s="119"/>
      <c r="C15" s="12">
        <v>2550</v>
      </c>
      <c r="D15" s="12">
        <v>11</v>
      </c>
      <c r="E15" s="118">
        <v>346.79</v>
      </c>
      <c r="F15" s="37"/>
      <c r="G15" s="13"/>
      <c r="H15" s="13"/>
      <c r="I15" s="13"/>
      <c r="J15" s="13"/>
      <c r="K15" s="13"/>
    </row>
    <row r="16" spans="1:11" x14ac:dyDescent="0.55000000000000004">
      <c r="B16" s="119"/>
      <c r="C16" s="12">
        <v>2551</v>
      </c>
      <c r="D16" s="12">
        <v>16</v>
      </c>
      <c r="E16" s="118">
        <v>781.85</v>
      </c>
      <c r="F16" s="37"/>
      <c r="G16" s="13"/>
      <c r="H16" s="13"/>
      <c r="I16" s="13"/>
      <c r="J16" s="13"/>
      <c r="K16" s="13"/>
    </row>
    <row r="17" spans="2:11" x14ac:dyDescent="0.55000000000000004">
      <c r="B17" s="119"/>
      <c r="C17" s="12">
        <v>2552</v>
      </c>
      <c r="D17" s="12">
        <v>25</v>
      </c>
      <c r="E17" s="118">
        <v>1048.04</v>
      </c>
      <c r="F17" s="37"/>
      <c r="G17" s="13"/>
      <c r="H17" s="13"/>
      <c r="I17" s="13"/>
      <c r="J17" s="13"/>
      <c r="K17" s="13"/>
    </row>
    <row r="18" spans="2:11" x14ac:dyDescent="0.55000000000000004">
      <c r="B18" s="119"/>
      <c r="C18" s="12">
        <v>2553</v>
      </c>
      <c r="D18" s="12">
        <v>3</v>
      </c>
      <c r="E18" s="118">
        <v>57</v>
      </c>
      <c r="F18" s="37"/>
      <c r="G18" s="13"/>
      <c r="H18" s="13"/>
      <c r="I18" s="13"/>
      <c r="J18" s="13"/>
      <c r="K18" s="13"/>
    </row>
    <row r="19" spans="2:11" x14ac:dyDescent="0.55000000000000004">
      <c r="B19" s="119"/>
      <c r="C19" s="12">
        <v>2554</v>
      </c>
      <c r="D19" s="12">
        <v>11</v>
      </c>
      <c r="E19" s="118">
        <v>659.3</v>
      </c>
      <c r="F19" s="37"/>
      <c r="G19" s="13"/>
      <c r="H19" s="13"/>
      <c r="I19" s="13"/>
      <c r="J19" s="13"/>
      <c r="K19" s="13"/>
    </row>
    <row r="20" spans="2:11" x14ac:dyDescent="0.55000000000000004">
      <c r="B20" s="119"/>
      <c r="C20" s="12">
        <v>2555</v>
      </c>
      <c r="D20" s="12">
        <v>22</v>
      </c>
      <c r="E20" s="118">
        <v>1083.95</v>
      </c>
      <c r="F20" s="37"/>
      <c r="G20" s="13"/>
      <c r="H20" s="13"/>
      <c r="I20" s="13"/>
      <c r="J20" s="13"/>
      <c r="K20" s="13"/>
    </row>
    <row r="21" spans="2:11" x14ac:dyDescent="0.55000000000000004">
      <c r="B21" s="119"/>
      <c r="C21" s="12">
        <v>2556</v>
      </c>
      <c r="D21" s="12">
        <v>27</v>
      </c>
      <c r="E21" s="118">
        <v>1150.45</v>
      </c>
      <c r="F21" s="37"/>
      <c r="G21" s="13"/>
      <c r="H21" s="13"/>
      <c r="I21" s="13"/>
      <c r="J21" s="13"/>
      <c r="K21" s="13"/>
    </row>
    <row r="22" spans="2:11" x14ac:dyDescent="0.55000000000000004">
      <c r="B22" s="119"/>
      <c r="C22" s="12">
        <v>2558</v>
      </c>
      <c r="D22" s="12">
        <v>5</v>
      </c>
      <c r="E22" s="118">
        <v>85.5</v>
      </c>
      <c r="F22" s="37"/>
      <c r="G22" s="13"/>
      <c r="H22" s="13"/>
      <c r="I22" s="13"/>
      <c r="J22" s="13"/>
      <c r="K22" s="13"/>
    </row>
    <row r="23" spans="2:11" x14ac:dyDescent="0.55000000000000004">
      <c r="B23" s="119"/>
      <c r="C23" s="12">
        <v>2559</v>
      </c>
      <c r="D23" s="12">
        <v>17</v>
      </c>
      <c r="E23" s="118">
        <v>285</v>
      </c>
      <c r="F23" s="37"/>
      <c r="G23" s="13"/>
      <c r="H23" s="13"/>
      <c r="I23" s="13"/>
      <c r="J23" s="13"/>
      <c r="K23" s="13"/>
    </row>
    <row r="24" spans="2:11" x14ac:dyDescent="0.55000000000000004">
      <c r="B24" s="269" t="s">
        <v>9</v>
      </c>
      <c r="C24" s="270"/>
      <c r="D24" s="12">
        <f>SUM(D14:D23)</f>
        <v>138</v>
      </c>
      <c r="E24" s="118">
        <f>SUM(E14:E23)</f>
        <v>5679.62</v>
      </c>
      <c r="F24" s="37"/>
      <c r="G24" s="13"/>
      <c r="H24" s="13"/>
      <c r="I24" s="13"/>
      <c r="J24" s="13"/>
      <c r="K24" s="13"/>
    </row>
    <row r="25" spans="2:11" x14ac:dyDescent="0.55000000000000004">
      <c r="B25" s="12" t="s">
        <v>212</v>
      </c>
      <c r="C25" s="12">
        <v>2554</v>
      </c>
      <c r="D25" s="117">
        <v>9</v>
      </c>
      <c r="E25" s="118">
        <v>2480</v>
      </c>
      <c r="F25" s="37"/>
    </row>
    <row r="26" spans="2:11" x14ac:dyDescent="0.55000000000000004">
      <c r="B26" s="12"/>
      <c r="C26" s="12">
        <v>2555</v>
      </c>
      <c r="D26" s="117">
        <v>1</v>
      </c>
      <c r="E26" s="118">
        <v>200</v>
      </c>
      <c r="F26" s="37"/>
    </row>
    <row r="27" spans="2:11" x14ac:dyDescent="0.55000000000000004">
      <c r="B27" s="12"/>
      <c r="C27" s="12">
        <v>2558</v>
      </c>
      <c r="D27" s="117">
        <v>2</v>
      </c>
      <c r="E27" s="118">
        <v>400</v>
      </c>
    </row>
    <row r="28" spans="2:11" x14ac:dyDescent="0.55000000000000004">
      <c r="B28" s="12"/>
      <c r="C28" s="12">
        <v>2559</v>
      </c>
      <c r="D28" s="117">
        <v>6</v>
      </c>
      <c r="E28" s="118">
        <v>6800</v>
      </c>
    </row>
    <row r="29" spans="2:11" x14ac:dyDescent="0.55000000000000004">
      <c r="B29" s="269" t="s">
        <v>9</v>
      </c>
      <c r="C29" s="270"/>
      <c r="D29" s="117">
        <f>SUM(D25:D28)</f>
        <v>18</v>
      </c>
      <c r="E29" s="118">
        <f>SUM(E25:E28)</f>
        <v>9880</v>
      </c>
    </row>
    <row r="30" spans="2:11" x14ac:dyDescent="0.55000000000000004">
      <c r="B30" s="269" t="s">
        <v>152</v>
      </c>
      <c r="C30" s="270"/>
      <c r="D30" s="117">
        <f>SUM(D29,D24,D13)</f>
        <v>172</v>
      </c>
      <c r="E30" s="91">
        <f>SUM(E29,E24,E13)</f>
        <v>38479.619999999995</v>
      </c>
    </row>
    <row r="31" spans="2:11" x14ac:dyDescent="0.55000000000000004">
      <c r="B31" s="13"/>
      <c r="C31" s="13"/>
      <c r="D31" s="107"/>
      <c r="E31" s="13"/>
    </row>
    <row r="32" spans="2:11" x14ac:dyDescent="0.55000000000000004">
      <c r="B32" s="13"/>
      <c r="C32" s="13"/>
      <c r="D32" s="107"/>
      <c r="E32" s="13"/>
    </row>
    <row r="33" spans="1:11" x14ac:dyDescent="0.55000000000000004">
      <c r="B33" s="13"/>
      <c r="C33" s="13"/>
      <c r="D33" s="107"/>
      <c r="E33" s="13"/>
    </row>
    <row r="34" spans="1:11" x14ac:dyDescent="0.55000000000000004">
      <c r="A34" s="264" t="s">
        <v>147</v>
      </c>
      <c r="B34" s="264"/>
      <c r="C34" s="264" t="s">
        <v>148</v>
      </c>
      <c r="D34" s="264"/>
      <c r="E34" s="264" t="s">
        <v>147</v>
      </c>
      <c r="F34" s="264"/>
    </row>
    <row r="35" spans="1:11" s="16" customFormat="1" x14ac:dyDescent="0.55000000000000004">
      <c r="A35" s="259" t="s">
        <v>192</v>
      </c>
      <c r="B35" s="259"/>
      <c r="C35" s="259" t="s">
        <v>213</v>
      </c>
      <c r="D35" s="259"/>
      <c r="E35" s="259" t="s">
        <v>193</v>
      </c>
      <c r="F35" s="259"/>
    </row>
    <row r="36" spans="1:11" x14ac:dyDescent="0.55000000000000004">
      <c r="A36" s="259" t="s">
        <v>171</v>
      </c>
      <c r="B36" s="259"/>
      <c r="C36" s="259" t="s">
        <v>126</v>
      </c>
      <c r="D36" s="259"/>
      <c r="E36" s="259" t="s">
        <v>127</v>
      </c>
      <c r="F36" s="259"/>
      <c r="H36" s="14"/>
      <c r="J36" s="14"/>
      <c r="K36" s="14"/>
    </row>
    <row r="37" spans="1:11" x14ac:dyDescent="0.55000000000000004">
      <c r="A37" s="259"/>
      <c r="B37" s="259"/>
      <c r="C37" s="259"/>
      <c r="D37" s="259"/>
      <c r="E37" s="15"/>
      <c r="F37" s="259"/>
      <c r="G37" s="259"/>
      <c r="H37" s="14"/>
      <c r="J37" s="14"/>
      <c r="K37" s="14"/>
    </row>
    <row r="83" spans="1:6" x14ac:dyDescent="0.55000000000000004">
      <c r="A83" s="16" t="s">
        <v>0</v>
      </c>
    </row>
    <row r="85" spans="1:6" x14ac:dyDescent="0.55000000000000004">
      <c r="A85" s="16" t="s">
        <v>1</v>
      </c>
    </row>
    <row r="87" spans="1:6" x14ac:dyDescent="0.55000000000000004">
      <c r="A87" s="17" t="s">
        <v>2</v>
      </c>
      <c r="F87" s="81">
        <v>144</v>
      </c>
    </row>
    <row r="88" spans="1:6" x14ac:dyDescent="0.55000000000000004">
      <c r="A88" s="17" t="s">
        <v>3</v>
      </c>
      <c r="B88" s="17" t="s">
        <v>4</v>
      </c>
      <c r="C88" s="17" t="s">
        <v>68</v>
      </c>
      <c r="F88" s="85">
        <v>398122.09</v>
      </c>
    </row>
    <row r="89" spans="1:6" x14ac:dyDescent="0.55000000000000004">
      <c r="B89" s="17" t="s">
        <v>5</v>
      </c>
      <c r="C89" s="17" t="s">
        <v>66</v>
      </c>
      <c r="F89" s="85">
        <v>6105645.9900000002</v>
      </c>
    </row>
    <row r="90" spans="1:6" x14ac:dyDescent="0.55000000000000004">
      <c r="B90" s="17" t="s">
        <v>5</v>
      </c>
      <c r="C90" s="17" t="s">
        <v>67</v>
      </c>
      <c r="F90" s="85">
        <v>482.36</v>
      </c>
    </row>
    <row r="91" spans="1:6" x14ac:dyDescent="0.55000000000000004">
      <c r="B91" s="17" t="s">
        <v>6</v>
      </c>
      <c r="F91" s="85">
        <v>1242589.69</v>
      </c>
    </row>
    <row r="92" spans="1:6" x14ac:dyDescent="0.55000000000000004">
      <c r="B92" s="17" t="s">
        <v>69</v>
      </c>
      <c r="F92" s="78">
        <v>37804.57</v>
      </c>
    </row>
    <row r="93" spans="1:6" x14ac:dyDescent="0.55000000000000004">
      <c r="A93" s="17" t="s">
        <v>54</v>
      </c>
      <c r="F93" s="81" t="s">
        <v>7</v>
      </c>
    </row>
    <row r="94" spans="1:6" x14ac:dyDescent="0.55000000000000004">
      <c r="A94" s="17" t="s">
        <v>70</v>
      </c>
      <c r="F94" s="81" t="s">
        <v>7</v>
      </c>
    </row>
    <row r="95" spans="1:6" ht="24.75" thickBot="1" x14ac:dyDescent="0.6">
      <c r="B95" s="15" t="s">
        <v>9</v>
      </c>
      <c r="F95" s="84">
        <v>7784788.71</v>
      </c>
    </row>
    <row r="96" spans="1:6" ht="24.75" thickTop="1" x14ac:dyDescent="0.55000000000000004"/>
  </sheetData>
  <mergeCells count="19">
    <mergeCell ref="A37:B37"/>
    <mergeCell ref="C37:D37"/>
    <mergeCell ref="F37:G37"/>
    <mergeCell ref="E34:F34"/>
    <mergeCell ref="A35:B35"/>
    <mergeCell ref="C35:D35"/>
    <mergeCell ref="E35:F35"/>
    <mergeCell ref="A36:B36"/>
    <mergeCell ref="C36:D36"/>
    <mergeCell ref="E36:F36"/>
    <mergeCell ref="B30:C30"/>
    <mergeCell ref="A34:B34"/>
    <mergeCell ref="C34:D34"/>
    <mergeCell ref="A1:F1"/>
    <mergeCell ref="A2:F2"/>
    <mergeCell ref="A3:F3"/>
    <mergeCell ref="B13:C13"/>
    <mergeCell ref="B24:C24"/>
    <mergeCell ref="B29:C29"/>
  </mergeCells>
  <printOptions horizontalCentered="1"/>
  <pageMargins left="0.11811023622047245" right="0.11811023622047245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7"/>
  <sheetViews>
    <sheetView zoomScale="90" workbookViewId="0">
      <selection activeCell="G19" sqref="G19"/>
    </sheetView>
  </sheetViews>
  <sheetFormatPr defaultColWidth="19.7109375" defaultRowHeight="24" x14ac:dyDescent="0.55000000000000004"/>
  <cols>
    <col min="1" max="1" width="12.7109375" style="17" customWidth="1"/>
    <col min="2" max="2" width="15.7109375" style="17" customWidth="1"/>
    <col min="3" max="3" width="9.42578125" style="17" customWidth="1"/>
    <col min="4" max="4" width="28.85546875" style="17" customWidth="1"/>
    <col min="5" max="5" width="22" style="17" customWidth="1"/>
    <col min="6" max="6" width="18.42578125" style="17" customWidth="1"/>
    <col min="7" max="16384" width="19.7109375" style="17"/>
  </cols>
  <sheetData>
    <row r="1" spans="1:7" x14ac:dyDescent="0.55000000000000004">
      <c r="A1" s="259" t="s">
        <v>10</v>
      </c>
      <c r="B1" s="259"/>
      <c r="C1" s="259"/>
      <c r="D1" s="259"/>
      <c r="E1" s="259"/>
      <c r="F1" s="259"/>
      <c r="G1" s="45"/>
    </row>
    <row r="2" spans="1:7" x14ac:dyDescent="0.55000000000000004">
      <c r="A2" s="259" t="s">
        <v>214</v>
      </c>
      <c r="B2" s="259"/>
      <c r="C2" s="259"/>
      <c r="D2" s="259"/>
      <c r="E2" s="259"/>
      <c r="F2" s="259"/>
      <c r="G2" s="45"/>
    </row>
    <row r="3" spans="1:7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221</v>
      </c>
      <c r="F5" s="9"/>
    </row>
    <row r="6" spans="1:7" x14ac:dyDescent="0.55000000000000004">
      <c r="B6" s="17" t="s">
        <v>222</v>
      </c>
      <c r="E6" s="116"/>
    </row>
    <row r="7" spans="1:7" x14ac:dyDescent="0.55000000000000004">
      <c r="C7" s="17" t="s">
        <v>219</v>
      </c>
      <c r="D7" s="17" t="s">
        <v>770</v>
      </c>
      <c r="E7" s="116"/>
      <c r="F7" s="82">
        <v>23000</v>
      </c>
    </row>
    <row r="8" spans="1:7" x14ac:dyDescent="0.55000000000000004">
      <c r="D8" s="17" t="s">
        <v>771</v>
      </c>
      <c r="E8" s="116"/>
      <c r="F8" s="82">
        <v>46000</v>
      </c>
    </row>
    <row r="9" spans="1:7" x14ac:dyDescent="0.55000000000000004">
      <c r="B9" s="13" t="s">
        <v>772</v>
      </c>
      <c r="C9" s="13"/>
      <c r="D9" s="13"/>
      <c r="E9" s="116"/>
      <c r="F9" s="116"/>
    </row>
    <row r="10" spans="1:7" x14ac:dyDescent="0.55000000000000004">
      <c r="B10" s="13"/>
      <c r="C10" s="17" t="s">
        <v>219</v>
      </c>
      <c r="D10" s="167">
        <v>2559</v>
      </c>
      <c r="E10" s="116"/>
      <c r="F10" s="116">
        <v>90000</v>
      </c>
    </row>
    <row r="11" spans="1:7" x14ac:dyDescent="0.55000000000000004">
      <c r="E11" s="116"/>
      <c r="F11" s="82"/>
    </row>
    <row r="12" spans="1:7" x14ac:dyDescent="0.55000000000000004">
      <c r="B12" s="13" t="s">
        <v>223</v>
      </c>
      <c r="C12" s="13"/>
      <c r="D12" s="13"/>
      <c r="E12" s="116"/>
      <c r="F12" s="116"/>
    </row>
    <row r="13" spans="1:7" x14ac:dyDescent="0.55000000000000004">
      <c r="B13" s="13"/>
      <c r="C13" s="17" t="s">
        <v>219</v>
      </c>
      <c r="D13" s="13" t="s">
        <v>774</v>
      </c>
      <c r="E13" s="116"/>
      <c r="F13" s="116">
        <v>77000</v>
      </c>
    </row>
    <row r="14" spans="1:7" x14ac:dyDescent="0.55000000000000004">
      <c r="B14" s="13"/>
      <c r="C14" s="13"/>
      <c r="D14" s="167" t="s">
        <v>773</v>
      </c>
      <c r="E14" s="116"/>
      <c r="F14" s="116">
        <v>91455</v>
      </c>
    </row>
    <row r="15" spans="1:7" x14ac:dyDescent="0.55000000000000004">
      <c r="B15" s="13"/>
      <c r="C15" s="13"/>
      <c r="D15" s="13"/>
      <c r="E15" s="116"/>
      <c r="F15" s="116"/>
    </row>
    <row r="16" spans="1:7" x14ac:dyDescent="0.55000000000000004">
      <c r="B16" s="13"/>
      <c r="C16" s="13"/>
      <c r="D16" s="13"/>
      <c r="E16" s="13"/>
      <c r="F16" s="13"/>
    </row>
    <row r="17" spans="1:11" ht="24.75" thickBot="1" x14ac:dyDescent="0.6">
      <c r="B17" s="13" t="s">
        <v>9</v>
      </c>
      <c r="C17" s="13"/>
      <c r="D17" s="13"/>
      <c r="E17" s="116"/>
      <c r="F17" s="92">
        <f>SUM(F6:F16)</f>
        <v>327455</v>
      </c>
    </row>
    <row r="18" spans="1:11" ht="24.75" thickTop="1" x14ac:dyDescent="0.55000000000000004">
      <c r="B18" s="13"/>
      <c r="C18" s="13"/>
      <c r="D18" s="13"/>
      <c r="E18" s="13"/>
    </row>
    <row r="19" spans="1:11" x14ac:dyDescent="0.55000000000000004">
      <c r="B19" s="13"/>
      <c r="C19" s="13"/>
      <c r="D19" s="13"/>
      <c r="E19" s="13"/>
    </row>
    <row r="20" spans="1:11" x14ac:dyDescent="0.55000000000000004">
      <c r="B20" s="13"/>
      <c r="C20" s="13"/>
      <c r="D20" s="13"/>
      <c r="E20" s="13"/>
    </row>
    <row r="21" spans="1:11" x14ac:dyDescent="0.55000000000000004">
      <c r="B21" s="13"/>
      <c r="C21" s="13"/>
      <c r="D21" s="13"/>
      <c r="E21" s="13"/>
    </row>
    <row r="22" spans="1:11" x14ac:dyDescent="0.55000000000000004">
      <c r="B22" s="13"/>
      <c r="C22" s="13"/>
      <c r="D22" s="13"/>
      <c r="E22" s="13"/>
    </row>
    <row r="23" spans="1:11" x14ac:dyDescent="0.55000000000000004">
      <c r="B23" s="13"/>
      <c r="C23" s="13"/>
      <c r="D23" s="13"/>
      <c r="E23" s="13"/>
    </row>
    <row r="24" spans="1:11" x14ac:dyDescent="0.55000000000000004">
      <c r="B24" s="13"/>
      <c r="C24" s="13"/>
      <c r="D24" s="13"/>
      <c r="E24" s="13"/>
    </row>
    <row r="25" spans="1:11" x14ac:dyDescent="0.55000000000000004">
      <c r="A25" s="264" t="s">
        <v>147</v>
      </c>
      <c r="B25" s="264"/>
      <c r="C25" s="264" t="s">
        <v>148</v>
      </c>
      <c r="D25" s="264"/>
      <c r="E25" s="264" t="s">
        <v>147</v>
      </c>
      <c r="F25" s="264"/>
    </row>
    <row r="26" spans="1:11" s="16" customFormat="1" x14ac:dyDescent="0.55000000000000004">
      <c r="A26" s="259" t="s">
        <v>192</v>
      </c>
      <c r="B26" s="259"/>
      <c r="C26" s="259" t="s">
        <v>213</v>
      </c>
      <c r="D26" s="259"/>
      <c r="E26" s="259" t="s">
        <v>193</v>
      </c>
      <c r="F26" s="259"/>
    </row>
    <row r="27" spans="1:11" x14ac:dyDescent="0.55000000000000004">
      <c r="A27" s="259" t="s">
        <v>171</v>
      </c>
      <c r="B27" s="259"/>
      <c r="C27" s="259" t="s">
        <v>126</v>
      </c>
      <c r="D27" s="259"/>
      <c r="E27" s="259" t="s">
        <v>127</v>
      </c>
      <c r="F27" s="259"/>
      <c r="H27" s="201"/>
      <c r="J27" s="201"/>
      <c r="K27" s="201"/>
    </row>
    <row r="28" spans="1:11" x14ac:dyDescent="0.55000000000000004">
      <c r="A28" s="259"/>
      <c r="B28" s="259"/>
      <c r="C28" s="259"/>
      <c r="D28" s="259"/>
      <c r="E28" s="200"/>
      <c r="F28" s="259"/>
      <c r="G28" s="259"/>
      <c r="H28" s="201"/>
      <c r="J28" s="201"/>
      <c r="K28" s="201"/>
    </row>
    <row r="74" spans="1:6" x14ac:dyDescent="0.55000000000000004">
      <c r="A74" s="16" t="s">
        <v>0</v>
      </c>
    </row>
    <row r="76" spans="1:6" x14ac:dyDescent="0.55000000000000004">
      <c r="A76" s="16" t="s">
        <v>1</v>
      </c>
    </row>
    <row r="78" spans="1:6" x14ac:dyDescent="0.55000000000000004">
      <c r="A78" s="17" t="s">
        <v>2</v>
      </c>
      <c r="F78" s="81">
        <v>144</v>
      </c>
    </row>
    <row r="79" spans="1:6" x14ac:dyDescent="0.55000000000000004">
      <c r="A79" s="17" t="s">
        <v>3</v>
      </c>
      <c r="B79" s="17" t="s">
        <v>4</v>
      </c>
      <c r="C79" s="17" t="s">
        <v>68</v>
      </c>
      <c r="F79" s="85">
        <v>398122.09</v>
      </c>
    </row>
    <row r="80" spans="1:6" x14ac:dyDescent="0.55000000000000004">
      <c r="B80" s="17" t="s">
        <v>5</v>
      </c>
      <c r="C80" s="17" t="s">
        <v>66</v>
      </c>
      <c r="F80" s="85">
        <v>6105645.9900000002</v>
      </c>
    </row>
    <row r="81" spans="1:6" x14ac:dyDescent="0.55000000000000004">
      <c r="B81" s="17" t="s">
        <v>5</v>
      </c>
      <c r="C81" s="17" t="s">
        <v>67</v>
      </c>
      <c r="F81" s="85">
        <v>482.36</v>
      </c>
    </row>
    <row r="82" spans="1:6" x14ac:dyDescent="0.55000000000000004">
      <c r="B82" s="17" t="s">
        <v>6</v>
      </c>
      <c r="F82" s="85">
        <v>1242589.69</v>
      </c>
    </row>
    <row r="83" spans="1:6" x14ac:dyDescent="0.55000000000000004">
      <c r="B83" s="17" t="s">
        <v>69</v>
      </c>
      <c r="F83" s="78">
        <v>37804.57</v>
      </c>
    </row>
    <row r="84" spans="1:6" x14ac:dyDescent="0.55000000000000004">
      <c r="A84" s="17" t="s">
        <v>54</v>
      </c>
      <c r="F84" s="81" t="s">
        <v>7</v>
      </c>
    </row>
    <row r="85" spans="1:6" x14ac:dyDescent="0.55000000000000004">
      <c r="A85" s="17" t="s">
        <v>70</v>
      </c>
      <c r="F85" s="81" t="s">
        <v>7</v>
      </c>
    </row>
    <row r="86" spans="1:6" ht="24.75" thickBot="1" x14ac:dyDescent="0.6">
      <c r="B86" s="200" t="s">
        <v>9</v>
      </c>
      <c r="F86" s="84">
        <v>7784788.71</v>
      </c>
    </row>
    <row r="87" spans="1:6" ht="24.75" thickTop="1" x14ac:dyDescent="0.55000000000000004"/>
  </sheetData>
  <mergeCells count="15">
    <mergeCell ref="A28:B28"/>
    <mergeCell ref="C28:D28"/>
    <mergeCell ref="F28:G28"/>
    <mergeCell ref="A26:B26"/>
    <mergeCell ref="C26:D26"/>
    <mergeCell ref="E26:F26"/>
    <mergeCell ref="A27:B27"/>
    <mergeCell ref="C27:D27"/>
    <mergeCell ref="E27:F27"/>
    <mergeCell ref="A1:F1"/>
    <mergeCell ref="A2:F2"/>
    <mergeCell ref="A3:F3"/>
    <mergeCell ref="A25:B25"/>
    <mergeCell ref="C25:D25"/>
    <mergeCell ref="E25:F25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3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9.7109375" style="17"/>
    <col min="2" max="2" width="28.5703125" style="17" bestFit="1" customWidth="1"/>
    <col min="3" max="16384" width="19.7109375" style="17"/>
  </cols>
  <sheetData>
    <row r="1" spans="1:11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11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11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11" x14ac:dyDescent="0.55000000000000004">
      <c r="A4" s="115"/>
      <c r="B4" s="115"/>
      <c r="C4" s="115"/>
      <c r="D4" s="115"/>
      <c r="E4" s="115"/>
      <c r="F4" s="115"/>
      <c r="G4" s="115"/>
    </row>
    <row r="5" spans="1:11" x14ac:dyDescent="0.55000000000000004">
      <c r="A5" s="16" t="s">
        <v>224</v>
      </c>
      <c r="F5" s="9"/>
    </row>
    <row r="6" spans="1:11" x14ac:dyDescent="0.55000000000000004">
      <c r="E6" s="82">
        <v>0</v>
      </c>
    </row>
    <row r="7" spans="1:11" x14ac:dyDescent="0.55000000000000004">
      <c r="B7" s="13"/>
      <c r="C7" s="13"/>
      <c r="D7" s="107"/>
      <c r="E7" s="116">
        <v>0</v>
      </c>
    </row>
    <row r="8" spans="1:11" x14ac:dyDescent="0.55000000000000004">
      <c r="B8" s="13"/>
      <c r="C8" s="13"/>
      <c r="D8" s="107"/>
      <c r="E8" s="13"/>
    </row>
    <row r="9" spans="1:11" ht="24.75" thickBot="1" x14ac:dyDescent="0.6">
      <c r="B9" s="13" t="s">
        <v>9</v>
      </c>
      <c r="C9" s="13"/>
      <c r="D9" s="107"/>
      <c r="E9" s="92">
        <f>SUM(E6:E8)</f>
        <v>0</v>
      </c>
    </row>
    <row r="10" spans="1:11" ht="24.75" thickTop="1" x14ac:dyDescent="0.55000000000000004">
      <c r="B10" s="13"/>
      <c r="C10" s="13"/>
      <c r="D10" s="107"/>
      <c r="E10" s="13"/>
    </row>
    <row r="11" spans="1:11" x14ac:dyDescent="0.55000000000000004">
      <c r="A11" s="264" t="s">
        <v>147</v>
      </c>
      <c r="B11" s="264"/>
      <c r="C11" s="264" t="s">
        <v>148</v>
      </c>
      <c r="D11" s="264"/>
      <c r="E11" s="264" t="s">
        <v>147</v>
      </c>
      <c r="F11" s="264"/>
    </row>
    <row r="12" spans="1:11" s="16" customFormat="1" x14ac:dyDescent="0.55000000000000004">
      <c r="A12" s="259" t="s">
        <v>192</v>
      </c>
      <c r="B12" s="259"/>
      <c r="C12" s="259" t="s">
        <v>213</v>
      </c>
      <c r="D12" s="259"/>
      <c r="E12" s="259" t="s">
        <v>193</v>
      </c>
      <c r="F12" s="259"/>
    </row>
    <row r="13" spans="1:11" x14ac:dyDescent="0.55000000000000004">
      <c r="A13" s="259" t="s">
        <v>171</v>
      </c>
      <c r="B13" s="259"/>
      <c r="C13" s="259" t="s">
        <v>126</v>
      </c>
      <c r="D13" s="259"/>
      <c r="E13" s="259" t="s">
        <v>127</v>
      </c>
      <c r="F13" s="259"/>
      <c r="H13" s="14"/>
      <c r="J13" s="14"/>
      <c r="K13" s="14"/>
    </row>
    <row r="14" spans="1:11" x14ac:dyDescent="0.55000000000000004">
      <c r="A14" s="259"/>
      <c r="B14" s="259"/>
      <c r="C14" s="259"/>
      <c r="D14" s="259"/>
      <c r="E14" s="15"/>
      <c r="F14" s="259"/>
      <c r="G14" s="259"/>
      <c r="H14" s="14"/>
      <c r="J14" s="14"/>
      <c r="K14" s="14"/>
    </row>
    <row r="60" spans="1:6" x14ac:dyDescent="0.55000000000000004">
      <c r="A60" s="16" t="s">
        <v>0</v>
      </c>
    </row>
    <row r="62" spans="1:6" x14ac:dyDescent="0.55000000000000004">
      <c r="A62" s="16" t="s">
        <v>1</v>
      </c>
    </row>
    <row r="64" spans="1:6" x14ac:dyDescent="0.55000000000000004">
      <c r="A64" s="17" t="s">
        <v>2</v>
      </c>
      <c r="F64" s="81">
        <v>144</v>
      </c>
    </row>
    <row r="65" spans="1:6" x14ac:dyDescent="0.55000000000000004">
      <c r="A65" s="17" t="s">
        <v>3</v>
      </c>
      <c r="B65" s="17" t="s">
        <v>4</v>
      </c>
      <c r="C65" s="17" t="s">
        <v>68</v>
      </c>
      <c r="F65" s="85">
        <v>398122.09</v>
      </c>
    </row>
    <row r="66" spans="1:6" x14ac:dyDescent="0.55000000000000004">
      <c r="B66" s="17" t="s">
        <v>5</v>
      </c>
      <c r="C66" s="17" t="s">
        <v>66</v>
      </c>
      <c r="F66" s="85">
        <v>6105645.9900000002</v>
      </c>
    </row>
    <row r="67" spans="1:6" x14ac:dyDescent="0.55000000000000004">
      <c r="B67" s="17" t="s">
        <v>5</v>
      </c>
      <c r="C67" s="17" t="s">
        <v>67</v>
      </c>
      <c r="F67" s="85">
        <v>482.36</v>
      </c>
    </row>
    <row r="68" spans="1:6" x14ac:dyDescent="0.55000000000000004">
      <c r="B68" s="17" t="s">
        <v>6</v>
      </c>
      <c r="F68" s="85">
        <v>1242589.69</v>
      </c>
    </row>
    <row r="69" spans="1:6" x14ac:dyDescent="0.55000000000000004">
      <c r="B69" s="17" t="s">
        <v>69</v>
      </c>
      <c r="F69" s="78">
        <v>37804.57</v>
      </c>
    </row>
    <row r="70" spans="1:6" x14ac:dyDescent="0.55000000000000004">
      <c r="A70" s="17" t="s">
        <v>54</v>
      </c>
      <c r="F70" s="81" t="s">
        <v>7</v>
      </c>
    </row>
    <row r="71" spans="1:6" x14ac:dyDescent="0.55000000000000004">
      <c r="A71" s="17" t="s">
        <v>70</v>
      </c>
      <c r="F71" s="81" t="s">
        <v>7</v>
      </c>
    </row>
    <row r="72" spans="1:6" ht="24.75" thickBot="1" x14ac:dyDescent="0.6">
      <c r="B72" s="15" t="s">
        <v>9</v>
      </c>
      <c r="F72" s="84">
        <v>7784788.71</v>
      </c>
    </row>
    <row r="73" spans="1:6" ht="24.75" thickTop="1" x14ac:dyDescent="0.55000000000000004"/>
  </sheetData>
  <mergeCells count="12"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3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9.7109375" style="17"/>
    <col min="2" max="2" width="28.5703125" style="17" bestFit="1" customWidth="1"/>
    <col min="3" max="16384" width="19.7109375" style="17"/>
  </cols>
  <sheetData>
    <row r="1" spans="1:11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11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11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11" x14ac:dyDescent="0.55000000000000004">
      <c r="A4" s="115"/>
      <c r="B4" s="115"/>
      <c r="C4" s="115"/>
      <c r="D4" s="115"/>
      <c r="E4" s="115"/>
      <c r="F4" s="115"/>
      <c r="G4" s="115"/>
    </row>
    <row r="5" spans="1:11" x14ac:dyDescent="0.55000000000000004">
      <c r="A5" s="16" t="s">
        <v>225</v>
      </c>
      <c r="F5" s="9"/>
    </row>
    <row r="6" spans="1:11" x14ac:dyDescent="0.55000000000000004">
      <c r="E6" s="82">
        <v>0</v>
      </c>
    </row>
    <row r="7" spans="1:11" x14ac:dyDescent="0.55000000000000004">
      <c r="B7" s="13"/>
      <c r="C7" s="13"/>
      <c r="D7" s="107"/>
      <c r="E7" s="116">
        <v>0</v>
      </c>
    </row>
    <row r="8" spans="1:11" x14ac:dyDescent="0.55000000000000004">
      <c r="B8" s="13"/>
      <c r="C8" s="13"/>
      <c r="D8" s="107"/>
      <c r="E8" s="13"/>
    </row>
    <row r="9" spans="1:11" ht="24.75" thickBot="1" x14ac:dyDescent="0.6">
      <c r="B9" s="13" t="s">
        <v>9</v>
      </c>
      <c r="C9" s="13"/>
      <c r="D9" s="107"/>
      <c r="E9" s="92">
        <f>SUM(E6:E8)</f>
        <v>0</v>
      </c>
    </row>
    <row r="10" spans="1:11" ht="24.75" thickTop="1" x14ac:dyDescent="0.55000000000000004">
      <c r="B10" s="13"/>
      <c r="C10" s="13"/>
      <c r="D10" s="107"/>
      <c r="E10" s="13"/>
    </row>
    <row r="11" spans="1:11" x14ac:dyDescent="0.55000000000000004">
      <c r="A11" s="264" t="s">
        <v>147</v>
      </c>
      <c r="B11" s="264"/>
      <c r="C11" s="264" t="s">
        <v>148</v>
      </c>
      <c r="D11" s="264"/>
      <c r="E11" s="264" t="s">
        <v>147</v>
      </c>
      <c r="F11" s="264"/>
    </row>
    <row r="12" spans="1:11" s="16" customFormat="1" x14ac:dyDescent="0.55000000000000004">
      <c r="A12" s="259" t="s">
        <v>192</v>
      </c>
      <c r="B12" s="259"/>
      <c r="C12" s="259" t="s">
        <v>213</v>
      </c>
      <c r="D12" s="259"/>
      <c r="E12" s="259" t="s">
        <v>193</v>
      </c>
      <c r="F12" s="259"/>
    </row>
    <row r="13" spans="1:11" x14ac:dyDescent="0.55000000000000004">
      <c r="A13" s="259" t="s">
        <v>171</v>
      </c>
      <c r="B13" s="259"/>
      <c r="C13" s="259" t="s">
        <v>126</v>
      </c>
      <c r="D13" s="259"/>
      <c r="E13" s="259" t="s">
        <v>127</v>
      </c>
      <c r="F13" s="259"/>
      <c r="H13" s="14"/>
      <c r="J13" s="14"/>
      <c r="K13" s="14"/>
    </row>
    <row r="14" spans="1:11" x14ac:dyDescent="0.55000000000000004">
      <c r="A14" s="259"/>
      <c r="B14" s="259"/>
      <c r="C14" s="259"/>
      <c r="D14" s="259"/>
      <c r="E14" s="15"/>
      <c r="F14" s="259"/>
      <c r="G14" s="259"/>
      <c r="H14" s="14"/>
      <c r="J14" s="14"/>
      <c r="K14" s="14"/>
    </row>
    <row r="60" spans="1:6" x14ac:dyDescent="0.55000000000000004">
      <c r="A60" s="16" t="s">
        <v>0</v>
      </c>
    </row>
    <row r="62" spans="1:6" x14ac:dyDescent="0.55000000000000004">
      <c r="A62" s="16" t="s">
        <v>1</v>
      </c>
    </row>
    <row r="64" spans="1:6" x14ac:dyDescent="0.55000000000000004">
      <c r="A64" s="17" t="s">
        <v>2</v>
      </c>
      <c r="F64" s="81">
        <v>144</v>
      </c>
    </row>
    <row r="65" spans="1:6" x14ac:dyDescent="0.55000000000000004">
      <c r="A65" s="17" t="s">
        <v>3</v>
      </c>
      <c r="B65" s="17" t="s">
        <v>4</v>
      </c>
      <c r="C65" s="17" t="s">
        <v>68</v>
      </c>
      <c r="F65" s="85">
        <v>398122.09</v>
      </c>
    </row>
    <row r="66" spans="1:6" x14ac:dyDescent="0.55000000000000004">
      <c r="B66" s="17" t="s">
        <v>5</v>
      </c>
      <c r="C66" s="17" t="s">
        <v>66</v>
      </c>
      <c r="F66" s="85">
        <v>6105645.9900000002</v>
      </c>
    </row>
    <row r="67" spans="1:6" x14ac:dyDescent="0.55000000000000004">
      <c r="B67" s="17" t="s">
        <v>5</v>
      </c>
      <c r="C67" s="17" t="s">
        <v>67</v>
      </c>
      <c r="F67" s="85">
        <v>482.36</v>
      </c>
    </row>
    <row r="68" spans="1:6" x14ac:dyDescent="0.55000000000000004">
      <c r="B68" s="17" t="s">
        <v>6</v>
      </c>
      <c r="F68" s="85">
        <v>1242589.69</v>
      </c>
    </row>
    <row r="69" spans="1:6" x14ac:dyDescent="0.55000000000000004">
      <c r="B69" s="17" t="s">
        <v>69</v>
      </c>
      <c r="F69" s="78">
        <v>37804.57</v>
      </c>
    </row>
    <row r="70" spans="1:6" x14ac:dyDescent="0.55000000000000004">
      <c r="A70" s="17" t="s">
        <v>54</v>
      </c>
      <c r="F70" s="81" t="s">
        <v>7</v>
      </c>
    </row>
    <row r="71" spans="1:6" x14ac:dyDescent="0.55000000000000004">
      <c r="A71" s="17" t="s">
        <v>70</v>
      </c>
      <c r="F71" s="81" t="s">
        <v>7</v>
      </c>
    </row>
    <row r="72" spans="1:6" ht="24.75" thickBot="1" x14ac:dyDescent="0.6">
      <c r="B72" s="15" t="s">
        <v>9</v>
      </c>
      <c r="F72" s="84">
        <v>7784788.71</v>
      </c>
    </row>
    <row r="73" spans="1:6" ht="24.75" thickTop="1" x14ac:dyDescent="0.55000000000000004"/>
  </sheetData>
  <mergeCells count="12"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3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9.7109375" style="17"/>
    <col min="2" max="2" width="28.5703125" style="17" bestFit="1" customWidth="1"/>
    <col min="3" max="16384" width="19.7109375" style="17"/>
  </cols>
  <sheetData>
    <row r="1" spans="1:11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11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11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11" x14ac:dyDescent="0.55000000000000004">
      <c r="A4" s="115"/>
      <c r="B4" s="115"/>
      <c r="C4" s="115"/>
      <c r="D4" s="115"/>
      <c r="E4" s="115"/>
      <c r="F4" s="115"/>
      <c r="G4" s="115"/>
    </row>
    <row r="5" spans="1:11" x14ac:dyDescent="0.55000000000000004">
      <c r="A5" s="16" t="s">
        <v>226</v>
      </c>
      <c r="F5" s="9"/>
    </row>
    <row r="6" spans="1:11" x14ac:dyDescent="0.55000000000000004">
      <c r="E6" s="82">
        <v>0</v>
      </c>
    </row>
    <row r="7" spans="1:11" x14ac:dyDescent="0.55000000000000004">
      <c r="B7" s="13"/>
      <c r="C7" s="13"/>
      <c r="D7" s="107"/>
      <c r="E7" s="116">
        <v>0</v>
      </c>
    </row>
    <row r="8" spans="1:11" x14ac:dyDescent="0.55000000000000004">
      <c r="B8" s="13"/>
      <c r="C8" s="13"/>
      <c r="D8" s="107"/>
      <c r="E8" s="13"/>
    </row>
    <row r="9" spans="1:11" ht="24.75" thickBot="1" x14ac:dyDescent="0.6">
      <c r="B9" s="13" t="s">
        <v>9</v>
      </c>
      <c r="C9" s="13"/>
      <c r="D9" s="107"/>
      <c r="E9" s="92">
        <f>SUM(E6:E8)</f>
        <v>0</v>
      </c>
    </row>
    <row r="10" spans="1:11" ht="24.75" thickTop="1" x14ac:dyDescent="0.55000000000000004">
      <c r="B10" s="13"/>
      <c r="C10" s="13"/>
      <c r="D10" s="107"/>
      <c r="E10" s="13"/>
    </row>
    <row r="11" spans="1:11" x14ac:dyDescent="0.55000000000000004">
      <c r="A11" s="264" t="s">
        <v>147</v>
      </c>
      <c r="B11" s="264"/>
      <c r="C11" s="264" t="s">
        <v>148</v>
      </c>
      <c r="D11" s="264"/>
      <c r="E11" s="264" t="s">
        <v>147</v>
      </c>
      <c r="F11" s="264"/>
    </row>
    <row r="12" spans="1:11" s="16" customFormat="1" x14ac:dyDescent="0.55000000000000004">
      <c r="A12" s="259" t="s">
        <v>192</v>
      </c>
      <c r="B12" s="259"/>
      <c r="C12" s="259" t="s">
        <v>213</v>
      </c>
      <c r="D12" s="259"/>
      <c r="E12" s="259" t="s">
        <v>193</v>
      </c>
      <c r="F12" s="259"/>
    </row>
    <row r="13" spans="1:11" x14ac:dyDescent="0.55000000000000004">
      <c r="A13" s="259" t="s">
        <v>171</v>
      </c>
      <c r="B13" s="259"/>
      <c r="C13" s="259" t="s">
        <v>126</v>
      </c>
      <c r="D13" s="259"/>
      <c r="E13" s="259" t="s">
        <v>127</v>
      </c>
      <c r="F13" s="259"/>
      <c r="H13" s="14"/>
      <c r="J13" s="14"/>
      <c r="K13" s="14"/>
    </row>
    <row r="14" spans="1:11" x14ac:dyDescent="0.55000000000000004">
      <c r="A14" s="259"/>
      <c r="B14" s="259"/>
      <c r="C14" s="259"/>
      <c r="D14" s="259"/>
      <c r="E14" s="15"/>
      <c r="F14" s="259"/>
      <c r="G14" s="259"/>
      <c r="H14" s="14"/>
      <c r="J14" s="14"/>
      <c r="K14" s="14"/>
    </row>
    <row r="60" spans="1:6" x14ac:dyDescent="0.55000000000000004">
      <c r="A60" s="16" t="s">
        <v>0</v>
      </c>
    </row>
    <row r="62" spans="1:6" x14ac:dyDescent="0.55000000000000004">
      <c r="A62" s="16" t="s">
        <v>1</v>
      </c>
    </row>
    <row r="64" spans="1:6" x14ac:dyDescent="0.55000000000000004">
      <c r="A64" s="17" t="s">
        <v>2</v>
      </c>
      <c r="F64" s="81">
        <v>144</v>
      </c>
    </row>
    <row r="65" spans="1:6" x14ac:dyDescent="0.55000000000000004">
      <c r="A65" s="17" t="s">
        <v>3</v>
      </c>
      <c r="B65" s="17" t="s">
        <v>4</v>
      </c>
      <c r="C65" s="17" t="s">
        <v>68</v>
      </c>
      <c r="F65" s="85">
        <v>398122.09</v>
      </c>
    </row>
    <row r="66" spans="1:6" x14ac:dyDescent="0.55000000000000004">
      <c r="B66" s="17" t="s">
        <v>5</v>
      </c>
      <c r="C66" s="17" t="s">
        <v>66</v>
      </c>
      <c r="F66" s="85">
        <v>6105645.9900000002</v>
      </c>
    </row>
    <row r="67" spans="1:6" x14ac:dyDescent="0.55000000000000004">
      <c r="B67" s="17" t="s">
        <v>5</v>
      </c>
      <c r="C67" s="17" t="s">
        <v>67</v>
      </c>
      <c r="F67" s="85">
        <v>482.36</v>
      </c>
    </row>
    <row r="68" spans="1:6" x14ac:dyDescent="0.55000000000000004">
      <c r="B68" s="17" t="s">
        <v>6</v>
      </c>
      <c r="F68" s="85">
        <v>1242589.69</v>
      </c>
    </row>
    <row r="69" spans="1:6" x14ac:dyDescent="0.55000000000000004">
      <c r="B69" s="17" t="s">
        <v>69</v>
      </c>
      <c r="F69" s="78">
        <v>37804.57</v>
      </c>
    </row>
    <row r="70" spans="1:6" x14ac:dyDescent="0.55000000000000004">
      <c r="A70" s="17" t="s">
        <v>54</v>
      </c>
      <c r="F70" s="81" t="s">
        <v>7</v>
      </c>
    </row>
    <row r="71" spans="1:6" x14ac:dyDescent="0.55000000000000004">
      <c r="A71" s="17" t="s">
        <v>70</v>
      </c>
      <c r="F71" s="81" t="s">
        <v>7</v>
      </c>
    </row>
    <row r="72" spans="1:6" ht="24.75" thickBot="1" x14ac:dyDescent="0.6">
      <c r="B72" s="15" t="s">
        <v>9</v>
      </c>
      <c r="F72" s="84">
        <v>7784788.71</v>
      </c>
    </row>
    <row r="73" spans="1:6" ht="24.75" thickTop="1" x14ac:dyDescent="0.55000000000000004"/>
  </sheetData>
  <mergeCells count="12">
    <mergeCell ref="A13:B13"/>
    <mergeCell ref="C13:D13"/>
    <mergeCell ref="E13:F13"/>
    <mergeCell ref="A14:B14"/>
    <mergeCell ref="C14:D14"/>
    <mergeCell ref="F14:G14"/>
    <mergeCell ref="A11:B11"/>
    <mergeCell ref="C11:D11"/>
    <mergeCell ref="E11:F11"/>
    <mergeCell ref="A12:B12"/>
    <mergeCell ref="C12:D12"/>
    <mergeCell ref="E12:F12"/>
  </mergeCells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1:M18"/>
  <sheetViews>
    <sheetView view="pageBreakPreview" zoomScaleNormal="90" zoomScaleSheetLayoutView="100" workbookViewId="0">
      <selection activeCell="A4" sqref="A4"/>
    </sheetView>
  </sheetViews>
  <sheetFormatPr defaultRowHeight="24" x14ac:dyDescent="0.55000000000000004"/>
  <cols>
    <col min="1" max="1" width="14.42578125" style="17" customWidth="1"/>
    <col min="2" max="2" width="15.140625" style="17" customWidth="1"/>
    <col min="3" max="3" width="14.140625" style="17" bestFit="1" customWidth="1"/>
    <col min="4" max="4" width="18.7109375" style="17" bestFit="1" customWidth="1"/>
    <col min="5" max="5" width="32" style="17" customWidth="1"/>
    <col min="6" max="6" width="33.42578125" style="17" customWidth="1"/>
    <col min="7" max="7" width="17.140625" style="17" customWidth="1"/>
    <col min="8" max="8" width="12.5703125" style="17" bestFit="1" customWidth="1"/>
    <col min="9" max="9" width="9.42578125" style="17" bestFit="1" customWidth="1"/>
    <col min="10" max="10" width="11.140625" style="17" bestFit="1" customWidth="1"/>
    <col min="11" max="11" width="12.5703125" style="17" bestFit="1" customWidth="1"/>
    <col min="12" max="16384" width="9.140625" style="17"/>
  </cols>
  <sheetData>
    <row r="1" spans="1:13" x14ac:dyDescent="0.55000000000000004">
      <c r="A1" s="259" t="s">
        <v>10</v>
      </c>
      <c r="B1" s="259"/>
      <c r="C1" s="259"/>
      <c r="D1" s="259"/>
      <c r="E1" s="259"/>
      <c r="F1" s="259"/>
      <c r="G1" s="259"/>
    </row>
    <row r="2" spans="1:13" x14ac:dyDescent="0.55000000000000004">
      <c r="A2" s="259" t="s">
        <v>214</v>
      </c>
      <c r="B2" s="259"/>
      <c r="C2" s="259"/>
      <c r="D2" s="259"/>
      <c r="E2" s="259"/>
      <c r="F2" s="259"/>
      <c r="G2" s="259"/>
    </row>
    <row r="3" spans="1:13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259"/>
    </row>
    <row r="4" spans="1:13" ht="25.5" customHeight="1" x14ac:dyDescent="0.55000000000000004">
      <c r="A4" s="16" t="s">
        <v>227</v>
      </c>
      <c r="F4" s="9"/>
    </row>
    <row r="5" spans="1:13" s="15" customFormat="1" ht="25.5" customHeight="1" x14ac:dyDescent="0.55000000000000004">
      <c r="A5" s="21" t="s">
        <v>228</v>
      </c>
      <c r="B5" s="21" t="s">
        <v>229</v>
      </c>
      <c r="C5" s="21" t="s">
        <v>230</v>
      </c>
      <c r="D5" s="21" t="s">
        <v>231</v>
      </c>
      <c r="E5" s="21" t="s">
        <v>135</v>
      </c>
      <c r="F5" s="21" t="s">
        <v>216</v>
      </c>
      <c r="G5" s="21" t="s">
        <v>35</v>
      </c>
    </row>
    <row r="6" spans="1:13" ht="49.5" customHeight="1" x14ac:dyDescent="0.55000000000000004">
      <c r="A6" s="131" t="s">
        <v>234</v>
      </c>
      <c r="B6" s="132" t="s">
        <v>59</v>
      </c>
      <c r="C6" s="127" t="s">
        <v>232</v>
      </c>
      <c r="D6" s="127" t="s">
        <v>25</v>
      </c>
      <c r="E6" s="127" t="s">
        <v>233</v>
      </c>
      <c r="F6" s="133"/>
      <c r="G6" s="133">
        <v>600000</v>
      </c>
      <c r="H6" s="120"/>
      <c r="I6" s="121"/>
      <c r="J6" s="122"/>
      <c r="K6" s="121"/>
      <c r="L6" s="271"/>
      <c r="M6" s="271"/>
    </row>
    <row r="7" spans="1:13" ht="49.5" customHeight="1" x14ac:dyDescent="0.55000000000000004">
      <c r="A7" s="134" t="s">
        <v>234</v>
      </c>
      <c r="B7" s="135" t="s">
        <v>83</v>
      </c>
      <c r="C7" s="128" t="s">
        <v>268</v>
      </c>
      <c r="D7" s="128" t="s">
        <v>26</v>
      </c>
      <c r="E7" s="128" t="s">
        <v>356</v>
      </c>
      <c r="F7" s="128" t="s">
        <v>357</v>
      </c>
      <c r="G7" s="136">
        <v>6500</v>
      </c>
      <c r="H7" s="125"/>
      <c r="I7" s="125"/>
      <c r="J7" s="125"/>
      <c r="K7" s="125"/>
    </row>
    <row r="8" spans="1:13" ht="49.5" customHeight="1" x14ac:dyDescent="0.55000000000000004">
      <c r="A8" s="134" t="s">
        <v>234</v>
      </c>
      <c r="B8" s="186" t="s">
        <v>359</v>
      </c>
      <c r="C8" s="128" t="s">
        <v>360</v>
      </c>
      <c r="D8" s="128" t="s">
        <v>26</v>
      </c>
      <c r="E8" s="128" t="s">
        <v>356</v>
      </c>
      <c r="F8" s="128" t="s">
        <v>358</v>
      </c>
      <c r="G8" s="136">
        <v>2000</v>
      </c>
      <c r="H8" s="125"/>
      <c r="I8" s="125"/>
      <c r="J8" s="125"/>
      <c r="K8" s="125"/>
    </row>
    <row r="9" spans="1:13" ht="49.5" customHeight="1" x14ac:dyDescent="0.55000000000000004">
      <c r="A9" s="134" t="s">
        <v>234</v>
      </c>
      <c r="B9" s="186" t="s">
        <v>359</v>
      </c>
      <c r="C9" s="128" t="s">
        <v>360</v>
      </c>
      <c r="D9" s="128" t="s">
        <v>26</v>
      </c>
      <c r="E9" s="128" t="s">
        <v>356</v>
      </c>
      <c r="F9" s="128" t="s">
        <v>358</v>
      </c>
      <c r="G9" s="136">
        <v>6000</v>
      </c>
      <c r="H9" s="125"/>
      <c r="I9" s="125"/>
      <c r="J9" s="125"/>
      <c r="K9" s="125"/>
    </row>
    <row r="10" spans="1:13" ht="49.5" customHeight="1" x14ac:dyDescent="0.55000000000000004">
      <c r="A10" s="134" t="s">
        <v>361</v>
      </c>
      <c r="B10" s="186" t="s">
        <v>23</v>
      </c>
      <c r="C10" s="128" t="s">
        <v>23</v>
      </c>
      <c r="D10" s="128" t="s">
        <v>23</v>
      </c>
      <c r="E10" s="128" t="s">
        <v>362</v>
      </c>
      <c r="F10" s="128" t="s">
        <v>362</v>
      </c>
      <c r="G10" s="136">
        <v>114900</v>
      </c>
      <c r="H10" s="125"/>
      <c r="I10" s="125"/>
      <c r="J10" s="125"/>
      <c r="K10" s="125"/>
    </row>
    <row r="11" spans="1:13" ht="49.5" customHeight="1" x14ac:dyDescent="0.55000000000000004">
      <c r="A11" s="134" t="s">
        <v>361</v>
      </c>
      <c r="B11" s="186" t="s">
        <v>23</v>
      </c>
      <c r="C11" s="128" t="s">
        <v>23</v>
      </c>
      <c r="D11" s="128" t="s">
        <v>23</v>
      </c>
      <c r="E11" s="128" t="s">
        <v>363</v>
      </c>
      <c r="F11" s="128" t="s">
        <v>363</v>
      </c>
      <c r="G11" s="136">
        <v>20800</v>
      </c>
      <c r="H11" s="125"/>
      <c r="I11" s="125"/>
      <c r="J11" s="125"/>
      <c r="K11" s="125"/>
    </row>
    <row r="12" spans="1:13" ht="25.5" customHeight="1" x14ac:dyDescent="0.55000000000000004">
      <c r="A12" s="266" t="s">
        <v>9</v>
      </c>
      <c r="B12" s="272"/>
      <c r="C12" s="272"/>
      <c r="D12" s="272"/>
      <c r="E12" s="272"/>
      <c r="F12" s="267"/>
      <c r="G12" s="130">
        <f>SUM(G6:G11)</f>
        <v>750200</v>
      </c>
    </row>
    <row r="13" spans="1:13" ht="25.5" customHeight="1" x14ac:dyDescent="0.55000000000000004">
      <c r="A13" s="16"/>
      <c r="F13" s="9"/>
      <c r="G13" s="126"/>
    </row>
    <row r="14" spans="1:13" x14ac:dyDescent="0.55000000000000004">
      <c r="B14" s="13"/>
      <c r="C14" s="13"/>
      <c r="D14" s="107"/>
      <c r="E14" s="13"/>
    </row>
    <row r="15" spans="1:13" x14ac:dyDescent="0.55000000000000004">
      <c r="A15" s="264" t="s">
        <v>147</v>
      </c>
      <c r="B15" s="264"/>
      <c r="C15" s="264"/>
      <c r="D15" s="264" t="s">
        <v>148</v>
      </c>
      <c r="E15" s="264"/>
      <c r="F15" s="264" t="s">
        <v>147</v>
      </c>
      <c r="G15" s="264"/>
    </row>
    <row r="16" spans="1:13" s="16" customFormat="1" x14ac:dyDescent="0.55000000000000004">
      <c r="A16" s="259" t="s">
        <v>192</v>
      </c>
      <c r="B16" s="259"/>
      <c r="C16" s="259"/>
      <c r="D16" s="259" t="s">
        <v>213</v>
      </c>
      <c r="E16" s="259"/>
      <c r="F16" s="259" t="s">
        <v>193</v>
      </c>
      <c r="G16" s="259"/>
    </row>
    <row r="17" spans="1:11" x14ac:dyDescent="0.55000000000000004">
      <c r="A17" s="259" t="s">
        <v>171</v>
      </c>
      <c r="B17" s="259"/>
      <c r="C17" s="259"/>
      <c r="D17" s="259" t="s">
        <v>126</v>
      </c>
      <c r="E17" s="259"/>
      <c r="F17" s="259" t="s">
        <v>127</v>
      </c>
      <c r="G17" s="259"/>
      <c r="H17" s="14"/>
      <c r="J17" s="14"/>
      <c r="K17" s="14"/>
    </row>
    <row r="18" spans="1:11" x14ac:dyDescent="0.55000000000000004">
      <c r="A18" s="15"/>
      <c r="B18" s="15"/>
      <c r="D18" s="15"/>
      <c r="E18" s="15"/>
      <c r="F18" s="15"/>
      <c r="G18" s="15"/>
      <c r="H18" s="14"/>
      <c r="J18" s="14"/>
      <c r="K18" s="14"/>
    </row>
  </sheetData>
  <mergeCells count="14">
    <mergeCell ref="A16:C16"/>
    <mergeCell ref="A17:C17"/>
    <mergeCell ref="F15:G15"/>
    <mergeCell ref="F16:G16"/>
    <mergeCell ref="F17:G17"/>
    <mergeCell ref="D15:E15"/>
    <mergeCell ref="D16:E16"/>
    <mergeCell ref="D17:E17"/>
    <mergeCell ref="A15:C15"/>
    <mergeCell ref="A1:G1"/>
    <mergeCell ref="A2:G2"/>
    <mergeCell ref="A3:G3"/>
    <mergeCell ref="L6:M6"/>
    <mergeCell ref="A12:F12"/>
  </mergeCells>
  <phoneticPr fontId="10" type="noConversion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180" verticalDpi="18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9"/>
  <sheetViews>
    <sheetView view="pageBreakPreview" zoomScaleNormal="90" zoomScaleSheetLayoutView="100" workbookViewId="0">
      <selection activeCell="A4" sqref="A4"/>
    </sheetView>
  </sheetViews>
  <sheetFormatPr defaultRowHeight="24" x14ac:dyDescent="0.55000000000000004"/>
  <cols>
    <col min="1" max="1" width="14.42578125" style="17" customWidth="1"/>
    <col min="2" max="2" width="15.140625" style="17" customWidth="1"/>
    <col min="3" max="3" width="14.140625" style="17" bestFit="1" customWidth="1"/>
    <col min="4" max="4" width="18.7109375" style="17" bestFit="1" customWidth="1"/>
    <col min="5" max="5" width="32" style="17" customWidth="1"/>
    <col min="6" max="6" width="33.42578125" style="17" customWidth="1"/>
    <col min="7" max="7" width="17.140625" style="17" customWidth="1"/>
    <col min="8" max="8" width="12.5703125" style="17" bestFit="1" customWidth="1"/>
    <col min="9" max="9" width="9.42578125" style="17" bestFit="1" customWidth="1"/>
    <col min="10" max="10" width="11.140625" style="17" bestFit="1" customWidth="1"/>
    <col min="11" max="11" width="12.5703125" style="17" bestFit="1" customWidth="1"/>
    <col min="12" max="16384" width="9.140625" style="17"/>
  </cols>
  <sheetData>
    <row r="1" spans="1:13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13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13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13" ht="23.25" customHeight="1" x14ac:dyDescent="0.55000000000000004">
      <c r="A4" s="115"/>
      <c r="B4" s="115"/>
      <c r="C4" s="115"/>
      <c r="D4" s="115"/>
      <c r="E4" s="115"/>
      <c r="F4" s="115"/>
      <c r="G4" s="115"/>
    </row>
    <row r="5" spans="1:13" ht="25.5" customHeight="1" x14ac:dyDescent="0.55000000000000004">
      <c r="A5" s="16" t="s">
        <v>235</v>
      </c>
      <c r="F5" s="9"/>
    </row>
    <row r="6" spans="1:13" ht="25.5" customHeight="1" x14ac:dyDescent="0.55000000000000004">
      <c r="A6" s="16"/>
      <c r="F6" s="9"/>
    </row>
    <row r="7" spans="1:13" s="15" customFormat="1" ht="25.5" customHeight="1" x14ac:dyDescent="0.55000000000000004">
      <c r="A7" s="21" t="s">
        <v>236</v>
      </c>
      <c r="B7" s="21" t="s">
        <v>229</v>
      </c>
      <c r="C7" s="21" t="s">
        <v>230</v>
      </c>
      <c r="D7" s="21" t="s">
        <v>231</v>
      </c>
      <c r="E7" s="21" t="s">
        <v>135</v>
      </c>
      <c r="F7" s="21" t="s">
        <v>216</v>
      </c>
      <c r="G7" s="21" t="s">
        <v>35</v>
      </c>
    </row>
    <row r="8" spans="1:13" ht="49.5" customHeight="1" x14ac:dyDescent="0.55000000000000004">
      <c r="A8" s="131"/>
      <c r="B8" s="132"/>
      <c r="C8" s="127"/>
      <c r="D8" s="127"/>
      <c r="E8" s="127"/>
      <c r="F8" s="133"/>
      <c r="G8" s="133"/>
      <c r="H8" s="120"/>
      <c r="I8" s="121"/>
      <c r="J8" s="122"/>
      <c r="K8" s="121"/>
      <c r="L8" s="271"/>
      <c r="M8" s="271"/>
    </row>
    <row r="9" spans="1:13" ht="49.5" customHeight="1" x14ac:dyDescent="0.55000000000000004">
      <c r="A9" s="134"/>
      <c r="B9" s="135"/>
      <c r="C9" s="128"/>
      <c r="D9" s="128"/>
      <c r="E9" s="128"/>
      <c r="F9" s="128"/>
      <c r="G9" s="136"/>
      <c r="H9" s="125"/>
      <c r="I9" s="125"/>
      <c r="J9" s="125"/>
      <c r="K9" s="125"/>
    </row>
    <row r="10" spans="1:13" ht="49.5" customHeight="1" x14ac:dyDescent="0.55000000000000004">
      <c r="A10" s="134"/>
      <c r="B10" s="135"/>
      <c r="C10" s="128"/>
      <c r="D10" s="128"/>
      <c r="E10" s="128"/>
      <c r="F10" s="128"/>
      <c r="G10" s="136"/>
      <c r="H10" s="125"/>
      <c r="I10" s="125"/>
      <c r="J10" s="125"/>
      <c r="K10" s="125"/>
    </row>
    <row r="11" spans="1:13" ht="49.5" customHeight="1" x14ac:dyDescent="0.55000000000000004">
      <c r="A11" s="134"/>
      <c r="B11" s="135"/>
      <c r="C11" s="128"/>
      <c r="D11" s="128"/>
      <c r="E11" s="128"/>
      <c r="F11" s="128"/>
      <c r="G11" s="136"/>
      <c r="H11" s="125"/>
      <c r="I11" s="125"/>
      <c r="J11" s="125"/>
      <c r="K11" s="125"/>
    </row>
    <row r="12" spans="1:13" ht="49.5" customHeight="1" x14ac:dyDescent="0.55000000000000004">
      <c r="A12" s="137"/>
      <c r="B12" s="138"/>
      <c r="C12" s="129"/>
      <c r="D12" s="129"/>
      <c r="E12" s="129"/>
      <c r="F12" s="129"/>
      <c r="G12" s="139"/>
      <c r="H12" s="125"/>
      <c r="I12" s="125"/>
      <c r="J12" s="125"/>
      <c r="K12" s="125"/>
    </row>
    <row r="13" spans="1:13" ht="25.5" customHeight="1" x14ac:dyDescent="0.55000000000000004">
      <c r="A13" s="266" t="s">
        <v>9</v>
      </c>
      <c r="B13" s="272"/>
      <c r="C13" s="272"/>
      <c r="D13" s="272"/>
      <c r="E13" s="272"/>
      <c r="F13" s="267"/>
      <c r="G13" s="130">
        <f>SUM(G8:G12)</f>
        <v>0</v>
      </c>
    </row>
    <row r="14" spans="1:13" ht="25.5" customHeight="1" x14ac:dyDescent="0.55000000000000004">
      <c r="A14" s="16"/>
      <c r="F14" s="9"/>
      <c r="G14" s="126"/>
    </row>
    <row r="15" spans="1:13" x14ac:dyDescent="0.55000000000000004">
      <c r="B15" s="13"/>
      <c r="C15" s="13"/>
      <c r="D15" s="107"/>
      <c r="E15" s="13"/>
    </row>
    <row r="16" spans="1:13" x14ac:dyDescent="0.55000000000000004">
      <c r="A16" s="264" t="s">
        <v>147</v>
      </c>
      <c r="B16" s="264"/>
      <c r="C16" s="264"/>
      <c r="D16" s="264" t="s">
        <v>148</v>
      </c>
      <c r="E16" s="264"/>
      <c r="F16" s="264" t="s">
        <v>147</v>
      </c>
      <c r="G16" s="264"/>
    </row>
    <row r="17" spans="1:11" s="16" customFormat="1" x14ac:dyDescent="0.55000000000000004">
      <c r="A17" s="259" t="s">
        <v>192</v>
      </c>
      <c r="B17" s="259"/>
      <c r="C17" s="259"/>
      <c r="D17" s="259" t="s">
        <v>213</v>
      </c>
      <c r="E17" s="259"/>
      <c r="F17" s="259" t="s">
        <v>193</v>
      </c>
      <c r="G17" s="259"/>
    </row>
    <row r="18" spans="1:11" x14ac:dyDescent="0.55000000000000004">
      <c r="A18" s="259" t="s">
        <v>171</v>
      </c>
      <c r="B18" s="259"/>
      <c r="C18" s="259"/>
      <c r="D18" s="259" t="s">
        <v>126</v>
      </c>
      <c r="E18" s="259"/>
      <c r="F18" s="259" t="s">
        <v>127</v>
      </c>
      <c r="G18" s="259"/>
      <c r="H18" s="14"/>
      <c r="J18" s="14"/>
      <c r="K18" s="14"/>
    </row>
    <row r="19" spans="1:11" x14ac:dyDescent="0.55000000000000004">
      <c r="A19" s="15"/>
      <c r="B19" s="15"/>
      <c r="D19" s="15"/>
      <c r="E19" s="15"/>
      <c r="F19" s="15"/>
      <c r="G19" s="15"/>
      <c r="H19" s="14"/>
      <c r="J19" s="14"/>
      <c r="K19" s="14"/>
    </row>
  </sheetData>
  <mergeCells count="11">
    <mergeCell ref="F17:G17"/>
    <mergeCell ref="A18:C18"/>
    <mergeCell ref="D18:E18"/>
    <mergeCell ref="F18:G18"/>
    <mergeCell ref="L8:M8"/>
    <mergeCell ref="A13:F13"/>
    <mergeCell ref="A16:C16"/>
    <mergeCell ref="D16:E16"/>
    <mergeCell ref="F16:G16"/>
    <mergeCell ref="A17:C17"/>
    <mergeCell ref="D17:E17"/>
  </mergeCells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180" verticalDpi="18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</sheetPr>
  <dimension ref="A1:K81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2.7109375" style="17" customWidth="1"/>
    <col min="2" max="2" width="25.42578125" style="17" customWidth="1"/>
    <col min="3" max="3" width="19.7109375" style="17"/>
    <col min="4" max="4" width="17.28515625" style="17" customWidth="1"/>
    <col min="5" max="5" width="19.7109375" style="17"/>
    <col min="6" max="6" width="15.7109375" style="17" customWidth="1"/>
    <col min="7" max="16384" width="19.7109375" style="17"/>
  </cols>
  <sheetData>
    <row r="1" spans="1:7" x14ac:dyDescent="0.55000000000000004">
      <c r="A1" s="259" t="s">
        <v>10</v>
      </c>
      <c r="B1" s="259"/>
      <c r="C1" s="259"/>
      <c r="D1" s="259"/>
      <c r="E1" s="259"/>
      <c r="F1" s="259"/>
      <c r="G1" s="45"/>
    </row>
    <row r="2" spans="1:7" x14ac:dyDescent="0.55000000000000004">
      <c r="A2" s="259" t="s">
        <v>214</v>
      </c>
      <c r="B2" s="259"/>
      <c r="C2" s="259"/>
      <c r="D2" s="259"/>
      <c r="E2" s="259"/>
      <c r="F2" s="259"/>
      <c r="G2" s="45"/>
    </row>
    <row r="3" spans="1:7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237</v>
      </c>
      <c r="F5" s="9"/>
    </row>
    <row r="6" spans="1:7" x14ac:dyDescent="0.55000000000000004">
      <c r="A6" s="16"/>
      <c r="F6" s="9"/>
    </row>
    <row r="7" spans="1:7" x14ac:dyDescent="0.55000000000000004">
      <c r="A7" s="16"/>
      <c r="B7" s="38" t="s">
        <v>8</v>
      </c>
      <c r="C7" s="38"/>
      <c r="D7" s="78"/>
      <c r="F7" s="78">
        <v>566433</v>
      </c>
    </row>
    <row r="8" spans="1:7" x14ac:dyDescent="0.55000000000000004">
      <c r="A8" s="16"/>
      <c r="B8" s="38" t="s">
        <v>181</v>
      </c>
      <c r="C8" s="38"/>
      <c r="D8" s="78"/>
      <c r="F8" s="78">
        <v>35597.24</v>
      </c>
    </row>
    <row r="9" spans="1:7" x14ac:dyDescent="0.55000000000000004">
      <c r="A9" s="16"/>
      <c r="B9" s="38" t="s">
        <v>182</v>
      </c>
      <c r="C9" s="38"/>
      <c r="D9" s="78"/>
      <c r="F9" s="78">
        <v>17622.72</v>
      </c>
    </row>
    <row r="10" spans="1:7" x14ac:dyDescent="0.55000000000000004">
      <c r="A10" s="16"/>
      <c r="B10" s="38" t="s">
        <v>238</v>
      </c>
      <c r="C10" s="38"/>
      <c r="D10" s="78"/>
      <c r="F10" s="78">
        <v>19800</v>
      </c>
    </row>
    <row r="11" spans="1:7" x14ac:dyDescent="0.55000000000000004">
      <c r="A11" s="16"/>
      <c r="B11" s="38" t="s">
        <v>239</v>
      </c>
      <c r="C11" s="38"/>
      <c r="D11" s="79"/>
      <c r="F11" s="79">
        <f>51000+184600</f>
        <v>235600</v>
      </c>
    </row>
    <row r="12" spans="1:7" x14ac:dyDescent="0.55000000000000004">
      <c r="A12" s="16"/>
      <c r="B12" s="38"/>
      <c r="C12" s="38"/>
      <c r="D12" s="78"/>
    </row>
    <row r="13" spans="1:7" x14ac:dyDescent="0.55000000000000004">
      <c r="B13" s="13"/>
      <c r="C13" s="13"/>
      <c r="D13" s="107"/>
      <c r="F13" s="13"/>
    </row>
    <row r="14" spans="1:7" ht="24.75" thickBot="1" x14ac:dyDescent="0.6">
      <c r="B14" s="38" t="s">
        <v>9</v>
      </c>
      <c r="C14" s="13"/>
      <c r="D14" s="107"/>
      <c r="F14" s="169">
        <f>SUM(F7:F13)</f>
        <v>875052.96</v>
      </c>
    </row>
    <row r="15" spans="1:7" ht="24.75" thickTop="1" x14ac:dyDescent="0.55000000000000004">
      <c r="B15" s="13"/>
      <c r="C15" s="13"/>
      <c r="D15" s="107"/>
      <c r="E15" s="13"/>
    </row>
    <row r="16" spans="1:7" x14ac:dyDescent="0.55000000000000004">
      <c r="B16" s="13"/>
      <c r="C16" s="13"/>
      <c r="D16" s="107"/>
      <c r="E16" s="13"/>
    </row>
    <row r="17" spans="1:11" x14ac:dyDescent="0.55000000000000004">
      <c r="B17" s="13"/>
      <c r="C17" s="13"/>
      <c r="D17" s="107"/>
      <c r="E17" s="13"/>
    </row>
    <row r="18" spans="1:11" x14ac:dyDescent="0.55000000000000004">
      <c r="B18" s="13"/>
      <c r="C18" s="13"/>
      <c r="D18" s="107"/>
      <c r="E18" s="13"/>
    </row>
    <row r="19" spans="1:11" x14ac:dyDescent="0.55000000000000004">
      <c r="A19" s="264" t="s">
        <v>147</v>
      </c>
      <c r="B19" s="264"/>
      <c r="C19" s="264" t="s">
        <v>148</v>
      </c>
      <c r="D19" s="264"/>
      <c r="E19" s="264" t="s">
        <v>147</v>
      </c>
      <c r="F19" s="264"/>
    </row>
    <row r="20" spans="1:11" s="16" customFormat="1" x14ac:dyDescent="0.55000000000000004">
      <c r="A20" s="259" t="s">
        <v>192</v>
      </c>
      <c r="B20" s="259"/>
      <c r="C20" s="259" t="s">
        <v>213</v>
      </c>
      <c r="D20" s="259"/>
      <c r="E20" s="259" t="s">
        <v>193</v>
      </c>
      <c r="F20" s="259"/>
    </row>
    <row r="21" spans="1:11" x14ac:dyDescent="0.55000000000000004">
      <c r="A21" s="259" t="s">
        <v>171</v>
      </c>
      <c r="B21" s="259"/>
      <c r="C21" s="259" t="s">
        <v>126</v>
      </c>
      <c r="D21" s="259"/>
      <c r="E21" s="259" t="s">
        <v>127</v>
      </c>
      <c r="F21" s="259"/>
      <c r="H21" s="14"/>
      <c r="J21" s="14"/>
      <c r="K21" s="14"/>
    </row>
    <row r="22" spans="1:11" x14ac:dyDescent="0.55000000000000004">
      <c r="A22" s="259"/>
      <c r="B22" s="259"/>
      <c r="C22" s="259"/>
      <c r="D22" s="259"/>
      <c r="E22" s="15"/>
      <c r="F22" s="15"/>
      <c r="G22" s="15"/>
      <c r="H22" s="14"/>
      <c r="J22" s="14"/>
      <c r="K22" s="14"/>
    </row>
    <row r="68" spans="1:6" x14ac:dyDescent="0.55000000000000004">
      <c r="A68" s="16" t="s">
        <v>0</v>
      </c>
    </row>
    <row r="70" spans="1:6" x14ac:dyDescent="0.55000000000000004">
      <c r="A70" s="16" t="s">
        <v>1</v>
      </c>
    </row>
    <row r="72" spans="1:6" x14ac:dyDescent="0.55000000000000004">
      <c r="A72" s="17" t="s">
        <v>2</v>
      </c>
      <c r="F72" s="81">
        <v>144</v>
      </c>
    </row>
    <row r="73" spans="1:6" x14ac:dyDescent="0.55000000000000004">
      <c r="A73" s="17" t="s">
        <v>3</v>
      </c>
      <c r="B73" s="17" t="s">
        <v>4</v>
      </c>
      <c r="C73" s="17" t="s">
        <v>68</v>
      </c>
      <c r="F73" s="85">
        <v>398122.09</v>
      </c>
    </row>
    <row r="74" spans="1:6" x14ac:dyDescent="0.55000000000000004">
      <c r="B74" s="17" t="s">
        <v>5</v>
      </c>
      <c r="C74" s="17" t="s">
        <v>66</v>
      </c>
      <c r="F74" s="85">
        <v>6105645.9900000002</v>
      </c>
    </row>
    <row r="75" spans="1:6" x14ac:dyDescent="0.55000000000000004">
      <c r="B75" s="17" t="s">
        <v>5</v>
      </c>
      <c r="C75" s="17" t="s">
        <v>67</v>
      </c>
      <c r="F75" s="85">
        <v>482.36</v>
      </c>
    </row>
    <row r="76" spans="1:6" x14ac:dyDescent="0.55000000000000004">
      <c r="B76" s="17" t="s">
        <v>6</v>
      </c>
      <c r="F76" s="85">
        <v>1242589.69</v>
      </c>
    </row>
    <row r="77" spans="1:6" x14ac:dyDescent="0.55000000000000004">
      <c r="B77" s="17" t="s">
        <v>69</v>
      </c>
      <c r="F77" s="78">
        <v>37804.57</v>
      </c>
    </row>
    <row r="78" spans="1:6" x14ac:dyDescent="0.55000000000000004">
      <c r="A78" s="17" t="s">
        <v>54</v>
      </c>
      <c r="F78" s="81" t="s">
        <v>7</v>
      </c>
    </row>
    <row r="79" spans="1:6" x14ac:dyDescent="0.55000000000000004">
      <c r="A79" s="17" t="s">
        <v>70</v>
      </c>
      <c r="F79" s="81" t="s">
        <v>7</v>
      </c>
    </row>
    <row r="80" spans="1:6" ht="24.75" thickBot="1" x14ac:dyDescent="0.6">
      <c r="B80" s="15" t="s">
        <v>9</v>
      </c>
      <c r="F80" s="84">
        <v>7784788.71</v>
      </c>
    </row>
    <row r="81" ht="24.75" thickTop="1" x14ac:dyDescent="0.55000000000000004"/>
  </sheetData>
  <mergeCells count="14">
    <mergeCell ref="A22:B22"/>
    <mergeCell ref="C22:D22"/>
    <mergeCell ref="A19:B19"/>
    <mergeCell ref="C19:D19"/>
    <mergeCell ref="E19:F19"/>
    <mergeCell ref="A20:B20"/>
    <mergeCell ref="C20:D20"/>
    <mergeCell ref="E20:F20"/>
    <mergeCell ref="A1:F1"/>
    <mergeCell ref="A2:F2"/>
    <mergeCell ref="A3:F3"/>
    <mergeCell ref="A21:B21"/>
    <mergeCell ref="C21:D21"/>
    <mergeCell ref="E21:F21"/>
  </mergeCells>
  <phoneticPr fontId="8" type="noConversion"/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1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9.7109375" style="17"/>
    <col min="2" max="2" width="28.5703125" style="17" bestFit="1" customWidth="1"/>
    <col min="3" max="16384" width="19.7109375" style="17"/>
  </cols>
  <sheetData>
    <row r="1" spans="1:7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7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7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240</v>
      </c>
      <c r="F5" s="9"/>
    </row>
    <row r="6" spans="1:7" x14ac:dyDescent="0.55000000000000004">
      <c r="A6" s="16"/>
      <c r="F6" s="9"/>
    </row>
    <row r="7" spans="1:7" x14ac:dyDescent="0.55000000000000004">
      <c r="A7" s="16"/>
      <c r="B7" s="38"/>
      <c r="C7" s="38"/>
      <c r="D7" s="78"/>
      <c r="F7" s="78"/>
    </row>
    <row r="8" spans="1:7" x14ac:dyDescent="0.55000000000000004">
      <c r="A8" s="16"/>
      <c r="B8" s="38"/>
      <c r="C8" s="38"/>
      <c r="D8" s="78"/>
      <c r="F8" s="78"/>
    </row>
    <row r="9" spans="1:7" x14ac:dyDescent="0.55000000000000004">
      <c r="A9" s="16"/>
      <c r="B9" s="38"/>
      <c r="C9" s="38"/>
      <c r="D9" s="78"/>
      <c r="F9" s="78"/>
    </row>
    <row r="10" spans="1:7" x14ac:dyDescent="0.55000000000000004">
      <c r="A10" s="16"/>
      <c r="B10" s="38"/>
      <c r="C10" s="38"/>
      <c r="D10" s="78"/>
      <c r="F10" s="78"/>
    </row>
    <row r="11" spans="1:7" x14ac:dyDescent="0.55000000000000004">
      <c r="A11" s="16"/>
      <c r="B11" s="38"/>
      <c r="C11" s="38"/>
      <c r="D11" s="78"/>
      <c r="F11" s="78"/>
    </row>
    <row r="12" spans="1:7" x14ac:dyDescent="0.55000000000000004">
      <c r="A12" s="16"/>
      <c r="B12" s="38"/>
      <c r="C12" s="38"/>
      <c r="D12" s="79"/>
      <c r="F12" s="79"/>
    </row>
    <row r="13" spans="1:7" x14ac:dyDescent="0.55000000000000004">
      <c r="A13" s="16"/>
      <c r="B13" s="38"/>
      <c r="C13" s="38"/>
      <c r="D13" s="79"/>
      <c r="F13" s="79"/>
    </row>
    <row r="14" spans="1:7" x14ac:dyDescent="0.55000000000000004">
      <c r="A14" s="16"/>
      <c r="B14" s="38"/>
      <c r="C14" s="38"/>
      <c r="D14" s="79"/>
      <c r="F14" s="79"/>
    </row>
    <row r="15" spans="1:7" x14ac:dyDescent="0.55000000000000004">
      <c r="A15" s="16"/>
      <c r="B15" s="38"/>
      <c r="C15" s="38"/>
      <c r="D15" s="78"/>
    </row>
    <row r="16" spans="1:7" x14ac:dyDescent="0.55000000000000004">
      <c r="B16" s="13"/>
      <c r="C16" s="13"/>
      <c r="D16" s="107"/>
      <c r="F16" s="13"/>
    </row>
    <row r="17" spans="1:11" ht="24.75" thickBot="1" x14ac:dyDescent="0.6">
      <c r="B17" s="13" t="s">
        <v>9</v>
      </c>
      <c r="C17" s="13"/>
      <c r="D17" s="107"/>
      <c r="F17" s="92">
        <f>SUM(F7:F16)</f>
        <v>0</v>
      </c>
    </row>
    <row r="18" spans="1:11" ht="24.75" thickTop="1" x14ac:dyDescent="0.55000000000000004">
      <c r="B18" s="13"/>
      <c r="C18" s="13"/>
      <c r="D18" s="107"/>
      <c r="E18" s="13"/>
    </row>
    <row r="19" spans="1:11" x14ac:dyDescent="0.55000000000000004">
      <c r="A19" s="264" t="s">
        <v>147</v>
      </c>
      <c r="B19" s="264"/>
      <c r="C19" s="264" t="s">
        <v>148</v>
      </c>
      <c r="D19" s="264"/>
      <c r="E19" s="264" t="s">
        <v>147</v>
      </c>
      <c r="F19" s="264"/>
    </row>
    <row r="20" spans="1:11" s="16" customFormat="1" x14ac:dyDescent="0.55000000000000004">
      <c r="A20" s="259" t="s">
        <v>192</v>
      </c>
      <c r="B20" s="259"/>
      <c r="C20" s="259" t="s">
        <v>213</v>
      </c>
      <c r="D20" s="259"/>
      <c r="E20" s="259" t="s">
        <v>193</v>
      </c>
      <c r="F20" s="259"/>
    </row>
    <row r="21" spans="1:11" x14ac:dyDescent="0.55000000000000004">
      <c r="A21" s="259" t="s">
        <v>171</v>
      </c>
      <c r="B21" s="259"/>
      <c r="C21" s="259" t="s">
        <v>126</v>
      </c>
      <c r="D21" s="259"/>
      <c r="E21" s="259" t="s">
        <v>127</v>
      </c>
      <c r="F21" s="259"/>
      <c r="H21" s="14"/>
      <c r="J21" s="14"/>
      <c r="K21" s="14"/>
    </row>
    <row r="22" spans="1:11" x14ac:dyDescent="0.55000000000000004">
      <c r="A22" s="259"/>
      <c r="B22" s="259"/>
      <c r="C22" s="259"/>
      <c r="D22" s="259"/>
      <c r="E22" s="15"/>
      <c r="F22" s="259"/>
      <c r="G22" s="259"/>
      <c r="H22" s="14"/>
      <c r="J22" s="14"/>
      <c r="K22" s="14"/>
    </row>
    <row r="68" spans="1:6" x14ac:dyDescent="0.55000000000000004">
      <c r="A68" s="16" t="s">
        <v>0</v>
      </c>
    </row>
    <row r="70" spans="1:6" x14ac:dyDescent="0.55000000000000004">
      <c r="A70" s="16" t="s">
        <v>1</v>
      </c>
    </row>
    <row r="72" spans="1:6" x14ac:dyDescent="0.55000000000000004">
      <c r="A72" s="17" t="s">
        <v>2</v>
      </c>
      <c r="F72" s="81">
        <v>144</v>
      </c>
    </row>
    <row r="73" spans="1:6" x14ac:dyDescent="0.55000000000000004">
      <c r="A73" s="17" t="s">
        <v>3</v>
      </c>
      <c r="B73" s="17" t="s">
        <v>4</v>
      </c>
      <c r="C73" s="17" t="s">
        <v>68</v>
      </c>
      <c r="F73" s="85">
        <v>398122.09</v>
      </c>
    </row>
    <row r="74" spans="1:6" x14ac:dyDescent="0.55000000000000004">
      <c r="B74" s="17" t="s">
        <v>5</v>
      </c>
      <c r="C74" s="17" t="s">
        <v>66</v>
      </c>
      <c r="F74" s="85">
        <v>6105645.9900000002</v>
      </c>
    </row>
    <row r="75" spans="1:6" x14ac:dyDescent="0.55000000000000004">
      <c r="B75" s="17" t="s">
        <v>5</v>
      </c>
      <c r="C75" s="17" t="s">
        <v>67</v>
      </c>
      <c r="F75" s="85">
        <v>482.36</v>
      </c>
    </row>
    <row r="76" spans="1:6" x14ac:dyDescent="0.55000000000000004">
      <c r="B76" s="17" t="s">
        <v>6</v>
      </c>
      <c r="F76" s="85">
        <v>1242589.69</v>
      </c>
    </row>
    <row r="77" spans="1:6" x14ac:dyDescent="0.55000000000000004">
      <c r="B77" s="17" t="s">
        <v>69</v>
      </c>
      <c r="F77" s="78">
        <v>37804.57</v>
      </c>
    </row>
    <row r="78" spans="1:6" x14ac:dyDescent="0.55000000000000004">
      <c r="A78" s="17" t="s">
        <v>54</v>
      </c>
      <c r="F78" s="81" t="s">
        <v>7</v>
      </c>
    </row>
    <row r="79" spans="1:6" x14ac:dyDescent="0.55000000000000004">
      <c r="A79" s="17" t="s">
        <v>70</v>
      </c>
      <c r="F79" s="81" t="s">
        <v>7</v>
      </c>
    </row>
    <row r="80" spans="1:6" ht="24.75" thickBot="1" x14ac:dyDescent="0.6">
      <c r="B80" s="15" t="s">
        <v>9</v>
      </c>
      <c r="F80" s="84">
        <v>7784788.71</v>
      </c>
    </row>
    <row r="81" ht="24.75" thickTop="1" x14ac:dyDescent="0.55000000000000004"/>
  </sheetData>
  <mergeCells count="12"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F22:G22"/>
  </mergeCells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6"/>
  <sheetViews>
    <sheetView view="pageBreakPreview" topLeftCell="A13" zoomScale="85" zoomScaleNormal="75" workbookViewId="0">
      <selection activeCell="C27" sqref="C27"/>
    </sheetView>
  </sheetViews>
  <sheetFormatPr defaultColWidth="19.5703125" defaultRowHeight="24" x14ac:dyDescent="0.55000000000000004"/>
  <cols>
    <col min="1" max="16384" width="19.5703125" style="17"/>
  </cols>
  <sheetData>
    <row r="1" spans="1:7" ht="27.75" x14ac:dyDescent="0.65">
      <c r="A1" s="258" t="s">
        <v>30</v>
      </c>
      <c r="B1" s="258"/>
      <c r="C1" s="258"/>
      <c r="D1" s="258"/>
      <c r="E1" s="258"/>
      <c r="F1" s="258"/>
    </row>
    <row r="2" spans="1:7" x14ac:dyDescent="0.55000000000000004">
      <c r="A2" s="259" t="s">
        <v>180</v>
      </c>
      <c r="B2" s="259"/>
      <c r="C2" s="259"/>
      <c r="D2" s="259"/>
      <c r="E2" s="259"/>
      <c r="F2" s="259"/>
    </row>
    <row r="3" spans="1:7" x14ac:dyDescent="0.55000000000000004">
      <c r="A3" s="260" t="s">
        <v>355</v>
      </c>
      <c r="B3" s="260"/>
      <c r="C3" s="260"/>
      <c r="D3" s="260"/>
      <c r="E3" s="260"/>
      <c r="F3" s="260"/>
    </row>
    <row r="4" spans="1:7" x14ac:dyDescent="0.55000000000000004">
      <c r="A4" s="261" t="s">
        <v>21</v>
      </c>
      <c r="B4" s="262"/>
      <c r="C4" s="263"/>
      <c r="D4" s="65" t="s">
        <v>113</v>
      </c>
      <c r="E4" s="65" t="s">
        <v>114</v>
      </c>
      <c r="F4" s="65" t="s">
        <v>115</v>
      </c>
    </row>
    <row r="5" spans="1:7" x14ac:dyDescent="0.55000000000000004">
      <c r="A5" s="176" t="s">
        <v>2</v>
      </c>
      <c r="B5" s="112"/>
      <c r="C5" s="112"/>
      <c r="D5" s="114">
        <v>111100</v>
      </c>
      <c r="E5" s="66">
        <v>20</v>
      </c>
      <c r="F5" s="66">
        <v>0</v>
      </c>
    </row>
    <row r="6" spans="1:7" x14ac:dyDescent="0.55000000000000004">
      <c r="A6" s="177" t="s">
        <v>117</v>
      </c>
      <c r="B6" s="71"/>
      <c r="C6" s="71"/>
      <c r="D6" s="106">
        <v>111201</v>
      </c>
      <c r="E6" s="66">
        <v>2188096.86</v>
      </c>
      <c r="F6" s="66">
        <v>0</v>
      </c>
    </row>
    <row r="7" spans="1:7" x14ac:dyDescent="0.55000000000000004">
      <c r="A7" s="177" t="s">
        <v>118</v>
      </c>
      <c r="B7" s="71"/>
      <c r="C7" s="71"/>
      <c r="D7" s="106">
        <v>111202</v>
      </c>
      <c r="E7" s="66">
        <v>12637657.689999999</v>
      </c>
      <c r="F7" s="66">
        <v>0</v>
      </c>
    </row>
    <row r="8" spans="1:7" x14ac:dyDescent="0.55000000000000004">
      <c r="A8" s="177" t="s">
        <v>116</v>
      </c>
      <c r="B8" s="71"/>
      <c r="C8" s="71"/>
      <c r="D8" s="106">
        <v>111203</v>
      </c>
      <c r="E8" s="66">
        <v>172794.27</v>
      </c>
      <c r="F8" s="66">
        <v>0</v>
      </c>
      <c r="G8" s="67"/>
    </row>
    <row r="9" spans="1:7" x14ac:dyDescent="0.55000000000000004">
      <c r="A9" s="177" t="s">
        <v>121</v>
      </c>
      <c r="B9" s="71"/>
      <c r="C9" s="71"/>
      <c r="D9" s="51">
        <v>112002</v>
      </c>
      <c r="E9" s="66">
        <v>7428035.8099999996</v>
      </c>
      <c r="F9" s="66">
        <v>0</v>
      </c>
    </row>
    <row r="10" spans="1:7" x14ac:dyDescent="0.55000000000000004">
      <c r="A10" s="177" t="s">
        <v>206</v>
      </c>
      <c r="B10" s="71"/>
      <c r="C10" s="71"/>
      <c r="D10" s="106">
        <v>113100</v>
      </c>
      <c r="E10" s="66">
        <v>35640</v>
      </c>
      <c r="F10" s="66">
        <v>0</v>
      </c>
    </row>
    <row r="11" spans="1:7" x14ac:dyDescent="0.55000000000000004">
      <c r="A11" s="177" t="s">
        <v>122</v>
      </c>
      <c r="B11" s="71"/>
      <c r="C11" s="71"/>
      <c r="D11" s="106">
        <v>113301</v>
      </c>
      <c r="E11" s="66">
        <v>22920</v>
      </c>
      <c r="F11" s="66">
        <v>0</v>
      </c>
    </row>
    <row r="12" spans="1:7" x14ac:dyDescent="0.55000000000000004">
      <c r="A12" s="177" t="s">
        <v>119</v>
      </c>
      <c r="B12" s="71"/>
      <c r="C12" s="71"/>
      <c r="D12" s="106">
        <v>113302</v>
      </c>
      <c r="E12" s="66">
        <v>5679.62</v>
      </c>
      <c r="F12" s="66">
        <v>0</v>
      </c>
    </row>
    <row r="13" spans="1:7" x14ac:dyDescent="0.55000000000000004">
      <c r="A13" s="177" t="s">
        <v>170</v>
      </c>
      <c r="B13" s="71"/>
      <c r="C13" s="71"/>
      <c r="D13" s="106">
        <v>113303</v>
      </c>
      <c r="E13" s="66">
        <v>9880</v>
      </c>
      <c r="F13" s="66"/>
    </row>
    <row r="14" spans="1:7" x14ac:dyDescent="0.55000000000000004">
      <c r="A14" s="177" t="s">
        <v>209</v>
      </c>
      <c r="B14" s="71"/>
      <c r="C14" s="71"/>
      <c r="D14" s="106">
        <v>113400</v>
      </c>
      <c r="E14" s="66">
        <v>327455</v>
      </c>
      <c r="F14" s="66">
        <v>0</v>
      </c>
    </row>
    <row r="15" spans="1:7" x14ac:dyDescent="0.55000000000000004">
      <c r="A15" s="177" t="s">
        <v>140</v>
      </c>
      <c r="B15" s="71"/>
      <c r="C15" s="71"/>
      <c r="D15" s="106">
        <v>113700</v>
      </c>
      <c r="E15" s="66">
        <v>0</v>
      </c>
      <c r="F15" s="66">
        <v>0</v>
      </c>
    </row>
    <row r="16" spans="1:7" x14ac:dyDescent="0.55000000000000004">
      <c r="A16" s="177" t="s">
        <v>141</v>
      </c>
      <c r="B16" s="71"/>
      <c r="C16" s="71"/>
      <c r="D16" s="51">
        <v>121000</v>
      </c>
      <c r="E16" s="66">
        <v>18544058.370000001</v>
      </c>
      <c r="F16" s="66">
        <v>0</v>
      </c>
    </row>
    <row r="17" spans="1:11" x14ac:dyDescent="0.55000000000000004">
      <c r="A17" s="177" t="s">
        <v>208</v>
      </c>
      <c r="B17" s="71"/>
      <c r="C17" s="71"/>
      <c r="D17" s="51">
        <v>190004</v>
      </c>
      <c r="E17" s="66"/>
      <c r="F17" s="66"/>
    </row>
    <row r="18" spans="1:11" x14ac:dyDescent="0.55000000000000004">
      <c r="A18" s="177" t="s">
        <v>354</v>
      </c>
      <c r="B18" s="71"/>
      <c r="C18" s="71"/>
      <c r="D18" s="51">
        <v>210200</v>
      </c>
      <c r="E18" s="66"/>
      <c r="F18" s="66">
        <v>35640</v>
      </c>
    </row>
    <row r="19" spans="1:11" x14ac:dyDescent="0.55000000000000004">
      <c r="A19" s="177" t="s">
        <v>210</v>
      </c>
      <c r="B19" s="71"/>
      <c r="C19" s="71"/>
      <c r="D19" s="51">
        <v>211000</v>
      </c>
      <c r="E19" s="66">
        <v>0</v>
      </c>
      <c r="F19" s="66">
        <v>750200</v>
      </c>
    </row>
    <row r="20" spans="1:11" x14ac:dyDescent="0.55000000000000004">
      <c r="A20" s="177" t="s">
        <v>211</v>
      </c>
      <c r="B20" s="71"/>
      <c r="C20" s="71"/>
      <c r="D20" s="51">
        <v>215000</v>
      </c>
      <c r="E20" s="66">
        <v>0</v>
      </c>
      <c r="F20" s="66">
        <v>875052.96</v>
      </c>
    </row>
    <row r="21" spans="1:11" x14ac:dyDescent="0.55000000000000004">
      <c r="A21" s="177" t="s">
        <v>142</v>
      </c>
      <c r="B21" s="71"/>
      <c r="C21" s="71"/>
      <c r="D21" s="51">
        <v>221202</v>
      </c>
      <c r="E21" s="66"/>
      <c r="F21" s="66">
        <v>10123384.119999999</v>
      </c>
    </row>
    <row r="22" spans="1:11" x14ac:dyDescent="0.55000000000000004">
      <c r="A22" s="177" t="s">
        <v>207</v>
      </c>
      <c r="B22" s="71"/>
      <c r="C22" s="71"/>
      <c r="D22" s="51">
        <v>290001</v>
      </c>
      <c r="E22" s="66"/>
      <c r="F22" s="66">
        <v>0</v>
      </c>
    </row>
    <row r="23" spans="1:11" x14ac:dyDescent="0.55000000000000004">
      <c r="A23" s="177" t="s">
        <v>120</v>
      </c>
      <c r="B23" s="71"/>
      <c r="C23" s="71"/>
      <c r="D23" s="51">
        <v>310000</v>
      </c>
      <c r="E23" s="66">
        <v>0</v>
      </c>
      <c r="F23" s="66">
        <v>17020197.84</v>
      </c>
    </row>
    <row r="24" spans="1:11" x14ac:dyDescent="0.55000000000000004">
      <c r="A24" s="177" t="s">
        <v>89</v>
      </c>
      <c r="B24" s="71"/>
      <c r="C24" s="71"/>
      <c r="D24" s="106">
        <v>320000</v>
      </c>
      <c r="E24" s="66">
        <v>0</v>
      </c>
      <c r="F24" s="66">
        <v>12567762.699999999</v>
      </c>
    </row>
    <row r="25" spans="1:11" x14ac:dyDescent="0.55000000000000004">
      <c r="A25" s="104"/>
      <c r="B25" s="105"/>
      <c r="C25" s="105"/>
      <c r="D25" s="32"/>
      <c r="E25" s="96">
        <f>SUM(E5:E24)</f>
        <v>41372237.620000005</v>
      </c>
      <c r="F25" s="96">
        <f>SUM(F5:F24)</f>
        <v>41372237.619999997</v>
      </c>
      <c r="G25" s="67">
        <f>SUM(E25-F25)</f>
        <v>7.4505805969238281E-9</v>
      </c>
    </row>
    <row r="26" spans="1:11" x14ac:dyDescent="0.55000000000000004">
      <c r="E26" s="68"/>
      <c r="F26" s="68"/>
    </row>
    <row r="27" spans="1:11" x14ac:dyDescent="0.55000000000000004">
      <c r="E27" s="68"/>
      <c r="F27" s="68"/>
    </row>
    <row r="28" spans="1:11" x14ac:dyDescent="0.55000000000000004">
      <c r="E28" s="68"/>
      <c r="F28" s="68"/>
    </row>
    <row r="29" spans="1:11" x14ac:dyDescent="0.55000000000000004">
      <c r="A29" s="264" t="s">
        <v>147</v>
      </c>
      <c r="B29" s="264"/>
      <c r="C29" s="264" t="s">
        <v>148</v>
      </c>
      <c r="D29" s="264"/>
      <c r="E29" s="264" t="s">
        <v>147</v>
      </c>
      <c r="F29" s="264"/>
      <c r="H29" s="68"/>
    </row>
    <row r="30" spans="1:11" s="16" customFormat="1" x14ac:dyDescent="0.55000000000000004">
      <c r="A30" s="259" t="s">
        <v>192</v>
      </c>
      <c r="B30" s="259"/>
      <c r="C30" s="259" t="s">
        <v>213</v>
      </c>
      <c r="D30" s="259"/>
      <c r="E30" s="259" t="s">
        <v>193</v>
      </c>
      <c r="F30" s="259"/>
    </row>
    <row r="31" spans="1:11" x14ac:dyDescent="0.55000000000000004">
      <c r="A31" s="259" t="s">
        <v>171</v>
      </c>
      <c r="B31" s="259"/>
      <c r="C31" s="259" t="s">
        <v>126</v>
      </c>
      <c r="D31" s="259"/>
      <c r="E31" s="259" t="s">
        <v>127</v>
      </c>
      <c r="F31" s="259"/>
      <c r="G31" s="14"/>
      <c r="H31" s="14"/>
      <c r="J31" s="14"/>
      <c r="K31" s="14"/>
    </row>
    <row r="32" spans="1:11" x14ac:dyDescent="0.55000000000000004">
      <c r="A32" s="259"/>
      <c r="B32" s="259"/>
      <c r="C32" s="259"/>
      <c r="D32" s="259"/>
      <c r="E32" s="259"/>
      <c r="F32" s="259"/>
      <c r="G32" s="14"/>
      <c r="H32" s="14"/>
      <c r="J32" s="14"/>
      <c r="K32" s="14"/>
    </row>
    <row r="33" spans="5:6" x14ac:dyDescent="0.55000000000000004">
      <c r="E33" s="68"/>
      <c r="F33" s="68"/>
    </row>
    <row r="34" spans="5:6" x14ac:dyDescent="0.55000000000000004">
      <c r="E34" s="68"/>
      <c r="F34" s="68"/>
    </row>
    <row r="35" spans="5:6" x14ac:dyDescent="0.55000000000000004">
      <c r="E35" s="68"/>
      <c r="F35" s="68"/>
    </row>
    <row r="36" spans="5:6" x14ac:dyDescent="0.55000000000000004">
      <c r="E36" s="68"/>
      <c r="F36" s="68"/>
    </row>
    <row r="37" spans="5:6" x14ac:dyDescent="0.55000000000000004">
      <c r="E37" s="68"/>
      <c r="F37" s="68"/>
    </row>
    <row r="38" spans="5:6" x14ac:dyDescent="0.55000000000000004">
      <c r="E38" s="68"/>
      <c r="F38" s="68"/>
    </row>
    <row r="39" spans="5:6" x14ac:dyDescent="0.55000000000000004">
      <c r="E39" s="68"/>
      <c r="F39" s="68"/>
    </row>
    <row r="40" spans="5:6" x14ac:dyDescent="0.55000000000000004">
      <c r="E40" s="68"/>
      <c r="F40" s="68"/>
    </row>
    <row r="41" spans="5:6" x14ac:dyDescent="0.55000000000000004">
      <c r="E41" s="68"/>
      <c r="F41" s="68"/>
    </row>
    <row r="42" spans="5:6" x14ac:dyDescent="0.55000000000000004">
      <c r="E42" s="68"/>
      <c r="F42" s="68"/>
    </row>
    <row r="43" spans="5:6" x14ac:dyDescent="0.55000000000000004">
      <c r="E43" s="68"/>
      <c r="F43" s="68"/>
    </row>
    <row r="44" spans="5:6" x14ac:dyDescent="0.55000000000000004">
      <c r="E44" s="68"/>
      <c r="F44" s="68"/>
    </row>
    <row r="45" spans="5:6" x14ac:dyDescent="0.55000000000000004">
      <c r="E45" s="68"/>
      <c r="F45" s="68"/>
    </row>
    <row r="46" spans="5:6" x14ac:dyDescent="0.55000000000000004">
      <c r="E46" s="68"/>
      <c r="F46" s="68"/>
    </row>
  </sheetData>
  <mergeCells count="16">
    <mergeCell ref="A30:B30"/>
    <mergeCell ref="A31:B31"/>
    <mergeCell ref="A32:B32"/>
    <mergeCell ref="C30:D30"/>
    <mergeCell ref="A1:F1"/>
    <mergeCell ref="A2:F2"/>
    <mergeCell ref="A3:F3"/>
    <mergeCell ref="E29:F29"/>
    <mergeCell ref="A29:B29"/>
    <mergeCell ref="C29:D29"/>
    <mergeCell ref="A4:C4"/>
    <mergeCell ref="C31:D31"/>
    <mergeCell ref="C32:D32"/>
    <mergeCell ref="E30:F30"/>
    <mergeCell ref="E31:F31"/>
    <mergeCell ref="E32:F32"/>
  </mergeCells>
  <phoneticPr fontId="0" type="noConversion"/>
  <printOptions horizontalCentered="1"/>
  <pageMargins left="0.39370078740157483" right="0.39370078740157483" top="0.39370078740157483" bottom="0.19685039370078741" header="0.51181102362204722" footer="0.39370078740157483"/>
  <pageSetup paperSize="9" scale="88" orientation="portrait" horizontalDpi="180" verticalDpi="180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view="pageBreakPreview" workbookViewId="0">
      <selection activeCell="A3" sqref="A3:G3"/>
    </sheetView>
  </sheetViews>
  <sheetFormatPr defaultRowHeight="24" x14ac:dyDescent="0.55000000000000004"/>
  <cols>
    <col min="1" max="1" width="25.7109375" style="17" customWidth="1"/>
    <col min="2" max="2" width="31.85546875" style="17" customWidth="1"/>
    <col min="3" max="3" width="18.42578125" style="17" customWidth="1"/>
    <col min="4" max="4" width="16.85546875" style="17" customWidth="1"/>
    <col min="5" max="5" width="16.28515625" style="17" bestFit="1" customWidth="1"/>
    <col min="6" max="6" width="17.42578125" style="17" customWidth="1"/>
    <col min="7" max="7" width="19.140625" style="17" customWidth="1"/>
    <col min="8" max="8" width="12.5703125" style="17" bestFit="1" customWidth="1"/>
    <col min="9" max="9" width="9.42578125" style="17" bestFit="1" customWidth="1"/>
    <col min="10" max="10" width="11.140625" style="17" bestFit="1" customWidth="1"/>
    <col min="11" max="11" width="12.5703125" style="17" bestFit="1" customWidth="1"/>
    <col min="12" max="16384" width="9.140625" style="17"/>
  </cols>
  <sheetData>
    <row r="1" spans="1:13" x14ac:dyDescent="0.55000000000000004">
      <c r="A1" s="259" t="s">
        <v>10</v>
      </c>
      <c r="B1" s="259"/>
      <c r="C1" s="259"/>
      <c r="D1" s="259"/>
      <c r="E1" s="259"/>
      <c r="F1" s="259"/>
      <c r="G1" s="259"/>
    </row>
    <row r="2" spans="1:13" x14ac:dyDescent="0.55000000000000004">
      <c r="A2" s="259" t="s">
        <v>214</v>
      </c>
      <c r="B2" s="259"/>
      <c r="C2" s="259"/>
      <c r="D2" s="259"/>
      <c r="E2" s="259"/>
      <c r="F2" s="259"/>
      <c r="G2" s="259"/>
    </row>
    <row r="3" spans="1:13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259"/>
    </row>
    <row r="4" spans="1:13" ht="25.5" customHeight="1" x14ac:dyDescent="0.55000000000000004">
      <c r="A4" s="16" t="s">
        <v>241</v>
      </c>
      <c r="F4" s="9"/>
    </row>
    <row r="5" spans="1:13" s="111" customFormat="1" ht="54" customHeight="1" x14ac:dyDescent="0.5">
      <c r="A5" s="275" t="s">
        <v>242</v>
      </c>
      <c r="B5" s="275" t="s">
        <v>243</v>
      </c>
      <c r="C5" s="277" t="s">
        <v>244</v>
      </c>
      <c r="D5" s="279" t="s">
        <v>245</v>
      </c>
      <c r="E5" s="280"/>
      <c r="F5" s="281" t="s">
        <v>153</v>
      </c>
      <c r="G5" s="281" t="s">
        <v>154</v>
      </c>
    </row>
    <row r="6" spans="1:13" s="143" customFormat="1" ht="49.5" customHeight="1" x14ac:dyDescent="0.5">
      <c r="A6" s="276"/>
      <c r="B6" s="276"/>
      <c r="C6" s="278"/>
      <c r="D6" s="170" t="s">
        <v>178</v>
      </c>
      <c r="E6" s="170" t="s">
        <v>246</v>
      </c>
      <c r="F6" s="282"/>
      <c r="G6" s="282"/>
      <c r="H6" s="140"/>
      <c r="I6" s="141"/>
      <c r="J6" s="142"/>
      <c r="K6" s="141"/>
      <c r="L6" s="274"/>
      <c r="M6" s="274"/>
    </row>
    <row r="7" spans="1:13" ht="48" x14ac:dyDescent="0.55000000000000004">
      <c r="A7" s="144" t="s">
        <v>155</v>
      </c>
      <c r="B7" s="144" t="s">
        <v>247</v>
      </c>
      <c r="C7" s="171">
        <v>16193159.369999999</v>
      </c>
      <c r="D7" s="185" t="s">
        <v>156</v>
      </c>
      <c r="E7" s="172">
        <v>40192</v>
      </c>
      <c r="F7" s="171">
        <v>10123384.119999999</v>
      </c>
      <c r="G7" s="173">
        <v>44834</v>
      </c>
      <c r="H7" s="125"/>
      <c r="I7" s="125"/>
      <c r="J7" s="125"/>
      <c r="K7" s="125"/>
    </row>
    <row r="8" spans="1:13" ht="25.5" customHeight="1" x14ac:dyDescent="0.55000000000000004">
      <c r="A8" s="273" t="s">
        <v>9</v>
      </c>
      <c r="B8" s="273"/>
      <c r="C8" s="21"/>
      <c r="D8" s="21"/>
      <c r="E8" s="21"/>
      <c r="F8" s="174">
        <f>SUM(F7:F7)</f>
        <v>10123384.119999999</v>
      </c>
      <c r="G8" s="130"/>
    </row>
    <row r="9" spans="1:13" ht="25.5" customHeight="1" x14ac:dyDescent="0.55000000000000004">
      <c r="A9" s="16"/>
      <c r="F9" s="9"/>
      <c r="G9" s="126"/>
    </row>
    <row r="10" spans="1:13" ht="25.5" customHeight="1" x14ac:dyDescent="0.55000000000000004">
      <c r="A10" s="16"/>
      <c r="F10" s="9"/>
      <c r="G10" s="126"/>
    </row>
    <row r="11" spans="1:13" ht="25.5" customHeight="1" x14ac:dyDescent="0.55000000000000004">
      <c r="A11" s="16"/>
      <c r="F11" s="9"/>
      <c r="G11" s="126"/>
    </row>
    <row r="12" spans="1:13" ht="25.5" customHeight="1" x14ac:dyDescent="0.55000000000000004">
      <c r="A12" s="16"/>
      <c r="F12" s="9"/>
      <c r="G12" s="126"/>
    </row>
    <row r="13" spans="1:13" ht="23.25" customHeight="1" x14ac:dyDescent="0.55000000000000004">
      <c r="A13" s="264" t="s">
        <v>147</v>
      </c>
      <c r="B13" s="264"/>
      <c r="C13" s="264" t="s">
        <v>148</v>
      </c>
      <c r="D13" s="264"/>
      <c r="E13" s="14"/>
      <c r="F13" s="14" t="s">
        <v>147</v>
      </c>
      <c r="G13" s="14"/>
    </row>
    <row r="14" spans="1:13" s="16" customFormat="1" ht="23.25" customHeight="1" x14ac:dyDescent="0.55000000000000004">
      <c r="A14" s="259" t="s">
        <v>192</v>
      </c>
      <c r="B14" s="259"/>
      <c r="C14" s="259" t="s">
        <v>213</v>
      </c>
      <c r="D14" s="259"/>
      <c r="E14" s="15"/>
      <c r="F14" s="15" t="s">
        <v>193</v>
      </c>
      <c r="G14" s="15"/>
    </row>
    <row r="15" spans="1:13" ht="23.25" customHeight="1" x14ac:dyDescent="0.55000000000000004">
      <c r="A15" s="259" t="s">
        <v>171</v>
      </c>
      <c r="B15" s="259"/>
      <c r="C15" s="259" t="s">
        <v>126</v>
      </c>
      <c r="D15" s="259"/>
      <c r="E15" s="15"/>
      <c r="F15" s="15" t="s">
        <v>127</v>
      </c>
      <c r="G15" s="15"/>
      <c r="H15" s="14"/>
      <c r="J15" s="14"/>
      <c r="K15" s="14"/>
    </row>
    <row r="16" spans="1:13" x14ac:dyDescent="0.55000000000000004">
      <c r="A16" s="15"/>
      <c r="B16" s="15"/>
      <c r="D16" s="15"/>
      <c r="E16" s="15"/>
      <c r="F16" s="15"/>
      <c r="G16" s="15"/>
      <c r="H16" s="14"/>
      <c r="J16" s="14"/>
      <c r="K16" s="14"/>
    </row>
  </sheetData>
  <mergeCells count="17">
    <mergeCell ref="L6:M6"/>
    <mergeCell ref="A5:A6"/>
    <mergeCell ref="B5:B6"/>
    <mergeCell ref="C5:C6"/>
    <mergeCell ref="D5:E5"/>
    <mergeCell ref="F5:F6"/>
    <mergeCell ref="G5:G6"/>
    <mergeCell ref="C15:D15"/>
    <mergeCell ref="A1:G1"/>
    <mergeCell ref="A2:G2"/>
    <mergeCell ref="A3:G3"/>
    <mergeCell ref="A8:B8"/>
    <mergeCell ref="A13:B13"/>
    <mergeCell ref="A14:B14"/>
    <mergeCell ref="C13:D13"/>
    <mergeCell ref="C14:D14"/>
    <mergeCell ref="A15:B15"/>
  </mergeCells>
  <phoneticPr fontId="10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1"/>
  <sheetViews>
    <sheetView zoomScale="90" workbookViewId="0">
      <selection activeCell="A4" sqref="A4"/>
    </sheetView>
  </sheetViews>
  <sheetFormatPr defaultColWidth="19.7109375" defaultRowHeight="24" x14ac:dyDescent="0.55000000000000004"/>
  <cols>
    <col min="1" max="1" width="19.7109375" style="17"/>
    <col min="2" max="2" width="28.5703125" style="17" bestFit="1" customWidth="1"/>
    <col min="3" max="16384" width="19.7109375" style="17"/>
  </cols>
  <sheetData>
    <row r="1" spans="1:7" x14ac:dyDescent="0.55000000000000004">
      <c r="A1" s="45" t="s">
        <v>10</v>
      </c>
      <c r="B1" s="45"/>
      <c r="C1" s="45"/>
      <c r="D1" s="45"/>
      <c r="E1" s="45"/>
      <c r="F1" s="45"/>
      <c r="G1" s="45"/>
    </row>
    <row r="2" spans="1:7" x14ac:dyDescent="0.55000000000000004">
      <c r="A2" s="45" t="s">
        <v>214</v>
      </c>
      <c r="B2" s="45"/>
      <c r="C2" s="45"/>
      <c r="D2" s="45"/>
      <c r="E2" s="45"/>
      <c r="F2" s="45"/>
      <c r="G2" s="45"/>
    </row>
    <row r="3" spans="1:7" x14ac:dyDescent="0.55000000000000004">
      <c r="A3" s="45" t="str">
        <f>งบทรัพย์สิน!A3</f>
        <v>สำหรับปีสิ้นสุดวันที่ 30 กันยายน 2559</v>
      </c>
      <c r="B3" s="45"/>
      <c r="C3" s="45"/>
      <c r="D3" s="45"/>
      <c r="E3" s="45"/>
      <c r="F3" s="45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248</v>
      </c>
      <c r="F5" s="9"/>
    </row>
    <row r="6" spans="1:7" x14ac:dyDescent="0.55000000000000004">
      <c r="A6" s="16"/>
      <c r="F6" s="9"/>
    </row>
    <row r="7" spans="1:7" x14ac:dyDescent="0.55000000000000004">
      <c r="A7" s="16"/>
      <c r="B7" s="38"/>
      <c r="C7" s="38"/>
      <c r="D7" s="78"/>
      <c r="F7" s="78"/>
    </row>
    <row r="8" spans="1:7" x14ac:dyDescent="0.55000000000000004">
      <c r="A8" s="16"/>
      <c r="B8" s="38"/>
      <c r="C8" s="38"/>
      <c r="D8" s="78"/>
      <c r="F8" s="78"/>
    </row>
    <row r="9" spans="1:7" x14ac:dyDescent="0.55000000000000004">
      <c r="A9" s="16"/>
      <c r="B9" s="38"/>
      <c r="C9" s="38"/>
      <c r="D9" s="78"/>
      <c r="F9" s="78"/>
    </row>
    <row r="10" spans="1:7" x14ac:dyDescent="0.55000000000000004">
      <c r="A10" s="16"/>
      <c r="B10" s="38"/>
      <c r="C10" s="38"/>
      <c r="D10" s="78"/>
      <c r="F10" s="78"/>
    </row>
    <row r="11" spans="1:7" x14ac:dyDescent="0.55000000000000004">
      <c r="A11" s="16"/>
      <c r="B11" s="38"/>
      <c r="C11" s="38"/>
      <c r="D11" s="78"/>
      <c r="F11" s="78"/>
    </row>
    <row r="12" spans="1:7" x14ac:dyDescent="0.55000000000000004">
      <c r="A12" s="16"/>
      <c r="B12" s="38"/>
      <c r="C12" s="38"/>
      <c r="D12" s="79"/>
      <c r="F12" s="79"/>
    </row>
    <row r="13" spans="1:7" x14ac:dyDescent="0.55000000000000004">
      <c r="A13" s="16"/>
      <c r="B13" s="38"/>
      <c r="C13" s="38"/>
      <c r="D13" s="79"/>
      <c r="F13" s="79"/>
    </row>
    <row r="14" spans="1:7" x14ac:dyDescent="0.55000000000000004">
      <c r="A14" s="16"/>
      <c r="B14" s="38"/>
      <c r="C14" s="38"/>
      <c r="D14" s="79"/>
      <c r="F14" s="79"/>
    </row>
    <row r="15" spans="1:7" x14ac:dyDescent="0.55000000000000004">
      <c r="A15" s="16"/>
      <c r="B15" s="38"/>
      <c r="C15" s="38"/>
      <c r="D15" s="78"/>
    </row>
    <row r="16" spans="1:7" x14ac:dyDescent="0.55000000000000004">
      <c r="B16" s="13"/>
      <c r="C16" s="13"/>
      <c r="D16" s="107"/>
      <c r="F16" s="13"/>
    </row>
    <row r="17" spans="1:11" ht="24.75" thickBot="1" x14ac:dyDescent="0.6">
      <c r="B17" s="13" t="s">
        <v>9</v>
      </c>
      <c r="C17" s="13"/>
      <c r="D17" s="107"/>
      <c r="F17" s="92">
        <f>SUM(F7:F16)</f>
        <v>0</v>
      </c>
    </row>
    <row r="18" spans="1:11" ht="24.75" thickTop="1" x14ac:dyDescent="0.55000000000000004">
      <c r="B18" s="13"/>
      <c r="C18" s="13"/>
      <c r="D18" s="107"/>
      <c r="E18" s="13"/>
    </row>
    <row r="19" spans="1:11" x14ac:dyDescent="0.55000000000000004">
      <c r="A19" s="264" t="s">
        <v>147</v>
      </c>
      <c r="B19" s="264"/>
      <c r="C19" s="264" t="s">
        <v>148</v>
      </c>
      <c r="D19" s="264"/>
      <c r="E19" s="264" t="s">
        <v>147</v>
      </c>
      <c r="F19" s="264"/>
    </row>
    <row r="20" spans="1:11" s="16" customFormat="1" x14ac:dyDescent="0.55000000000000004">
      <c r="A20" s="259" t="s">
        <v>192</v>
      </c>
      <c r="B20" s="259"/>
      <c r="C20" s="259" t="s">
        <v>213</v>
      </c>
      <c r="D20" s="259"/>
      <c r="E20" s="259" t="s">
        <v>193</v>
      </c>
      <c r="F20" s="259"/>
    </row>
    <row r="21" spans="1:11" x14ac:dyDescent="0.55000000000000004">
      <c r="A21" s="259" t="s">
        <v>171</v>
      </c>
      <c r="B21" s="259"/>
      <c r="C21" s="259" t="s">
        <v>126</v>
      </c>
      <c r="D21" s="259"/>
      <c r="E21" s="259" t="s">
        <v>127</v>
      </c>
      <c r="F21" s="259"/>
      <c r="H21" s="14"/>
      <c r="J21" s="14"/>
      <c r="K21" s="14"/>
    </row>
    <row r="22" spans="1:11" x14ac:dyDescent="0.55000000000000004">
      <c r="A22" s="259"/>
      <c r="B22" s="259"/>
      <c r="C22" s="259"/>
      <c r="D22" s="259"/>
      <c r="E22" s="15"/>
      <c r="F22" s="259"/>
      <c r="G22" s="259"/>
      <c r="H22" s="14"/>
      <c r="J22" s="14"/>
      <c r="K22" s="14"/>
    </row>
    <row r="68" spans="1:6" x14ac:dyDescent="0.55000000000000004">
      <c r="A68" s="16" t="s">
        <v>0</v>
      </c>
    </row>
    <row r="70" spans="1:6" x14ac:dyDescent="0.55000000000000004">
      <c r="A70" s="16" t="s">
        <v>1</v>
      </c>
    </row>
    <row r="72" spans="1:6" x14ac:dyDescent="0.55000000000000004">
      <c r="A72" s="17" t="s">
        <v>2</v>
      </c>
      <c r="F72" s="81">
        <v>144</v>
      </c>
    </row>
    <row r="73" spans="1:6" x14ac:dyDescent="0.55000000000000004">
      <c r="A73" s="17" t="s">
        <v>3</v>
      </c>
      <c r="B73" s="17" t="s">
        <v>4</v>
      </c>
      <c r="C73" s="17" t="s">
        <v>68</v>
      </c>
      <c r="F73" s="85">
        <v>398122.09</v>
      </c>
    </row>
    <row r="74" spans="1:6" x14ac:dyDescent="0.55000000000000004">
      <c r="B74" s="17" t="s">
        <v>5</v>
      </c>
      <c r="C74" s="17" t="s">
        <v>66</v>
      </c>
      <c r="F74" s="85">
        <v>6105645.9900000002</v>
      </c>
    </row>
    <row r="75" spans="1:6" x14ac:dyDescent="0.55000000000000004">
      <c r="B75" s="17" t="s">
        <v>5</v>
      </c>
      <c r="C75" s="17" t="s">
        <v>67</v>
      </c>
      <c r="F75" s="85">
        <v>482.36</v>
      </c>
    </row>
    <row r="76" spans="1:6" x14ac:dyDescent="0.55000000000000004">
      <c r="B76" s="17" t="s">
        <v>6</v>
      </c>
      <c r="F76" s="85">
        <v>1242589.69</v>
      </c>
    </row>
    <row r="77" spans="1:6" x14ac:dyDescent="0.55000000000000004">
      <c r="B77" s="17" t="s">
        <v>69</v>
      </c>
      <c r="F77" s="78">
        <v>37804.57</v>
      </c>
    </row>
    <row r="78" spans="1:6" x14ac:dyDescent="0.55000000000000004">
      <c r="A78" s="17" t="s">
        <v>54</v>
      </c>
      <c r="F78" s="81" t="s">
        <v>7</v>
      </c>
    </row>
    <row r="79" spans="1:6" x14ac:dyDescent="0.55000000000000004">
      <c r="A79" s="17" t="s">
        <v>70</v>
      </c>
      <c r="F79" s="81" t="s">
        <v>7</v>
      </c>
    </row>
    <row r="80" spans="1:6" ht="24.75" thickBot="1" x14ac:dyDescent="0.6">
      <c r="B80" s="15" t="s">
        <v>9</v>
      </c>
      <c r="F80" s="84">
        <v>7784788.71</v>
      </c>
    </row>
    <row r="81" ht="24.75" thickTop="1" x14ac:dyDescent="0.55000000000000004"/>
  </sheetData>
  <mergeCells count="12"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F22:G22"/>
  </mergeCells>
  <pageMargins left="0.75" right="0.75" top="1" bottom="1" header="0.5" footer="0.5"/>
  <pageSetup paperSize="9" scale="85" orientation="portrait" horizontalDpi="180" verticalDpi="18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9"/>
  <sheetViews>
    <sheetView tabSelected="1" workbookViewId="0">
      <selection activeCell="A4" sqref="A4"/>
    </sheetView>
  </sheetViews>
  <sheetFormatPr defaultColWidth="13" defaultRowHeight="24" x14ac:dyDescent="0.55000000000000004"/>
  <cols>
    <col min="1" max="1" width="7.5703125" style="17" customWidth="1"/>
    <col min="2" max="2" width="36.42578125" style="17" customWidth="1"/>
    <col min="3" max="3" width="16.140625" style="17" customWidth="1"/>
    <col min="4" max="4" width="16" style="17" customWidth="1"/>
    <col min="5" max="5" width="4.85546875" style="17" customWidth="1"/>
    <col min="6" max="6" width="23.7109375" style="17" customWidth="1"/>
    <col min="7" max="16384" width="13" style="2"/>
  </cols>
  <sheetData>
    <row r="1" spans="1:7" x14ac:dyDescent="0.55000000000000004">
      <c r="A1" s="259" t="s">
        <v>10</v>
      </c>
      <c r="B1" s="259"/>
      <c r="C1" s="259"/>
      <c r="D1" s="259"/>
      <c r="E1" s="259"/>
      <c r="F1" s="259"/>
    </row>
    <row r="2" spans="1:7" x14ac:dyDescent="0.55000000000000004">
      <c r="A2" s="259" t="s">
        <v>214</v>
      </c>
      <c r="B2" s="259"/>
      <c r="C2" s="259"/>
      <c r="D2" s="259"/>
      <c r="E2" s="259"/>
      <c r="F2" s="259"/>
      <c r="G2" s="1"/>
    </row>
    <row r="3" spans="1:7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1"/>
    </row>
    <row r="4" spans="1:7" x14ac:dyDescent="0.55000000000000004">
      <c r="A4" s="16" t="s">
        <v>254</v>
      </c>
      <c r="B4" s="15"/>
      <c r="C4" s="15"/>
      <c r="D4" s="15"/>
      <c r="E4" s="15"/>
      <c r="F4" s="15"/>
      <c r="G4" s="1"/>
    </row>
    <row r="5" spans="1:7" x14ac:dyDescent="0.55000000000000004">
      <c r="A5" s="17" t="s">
        <v>364</v>
      </c>
      <c r="D5" s="58"/>
      <c r="E5" s="58"/>
      <c r="F5" s="58">
        <v>17256802.530000001</v>
      </c>
    </row>
    <row r="6" spans="1:7" x14ac:dyDescent="0.55000000000000004">
      <c r="B6" s="17" t="s">
        <v>183</v>
      </c>
      <c r="C6" s="58">
        <v>213754.42</v>
      </c>
      <c r="D6" s="58"/>
      <c r="E6" s="58"/>
      <c r="F6" s="58"/>
    </row>
    <row r="7" spans="1:7" x14ac:dyDescent="0.55000000000000004">
      <c r="B7" s="86" t="s">
        <v>184</v>
      </c>
      <c r="C7" s="98">
        <v>53438.61</v>
      </c>
      <c r="D7" s="58"/>
      <c r="E7" s="58"/>
      <c r="F7" s="58"/>
    </row>
    <row r="8" spans="1:7" x14ac:dyDescent="0.55000000000000004">
      <c r="B8" s="17" t="s">
        <v>185</v>
      </c>
      <c r="D8" s="58"/>
      <c r="E8" s="58"/>
      <c r="F8" s="58"/>
      <c r="G8" s="99"/>
    </row>
    <row r="9" spans="1:7" x14ac:dyDescent="0.55000000000000004">
      <c r="A9" s="86" t="s">
        <v>12</v>
      </c>
      <c r="B9" s="17" t="s">
        <v>186</v>
      </c>
      <c r="D9" s="58">
        <f>SUM(C6-C7)</f>
        <v>160315.81</v>
      </c>
      <c r="E9" s="58"/>
      <c r="F9" s="58"/>
    </row>
    <row r="10" spans="1:7" x14ac:dyDescent="0.55000000000000004">
      <c r="B10" s="17" t="s">
        <v>249</v>
      </c>
      <c r="D10" s="58">
        <f>544344+161000</f>
        <v>705344</v>
      </c>
      <c r="E10" s="58"/>
      <c r="F10" s="58"/>
    </row>
    <row r="11" spans="1:7" x14ac:dyDescent="0.55000000000000004">
      <c r="B11" s="17" t="s">
        <v>187</v>
      </c>
      <c r="D11" s="58">
        <v>1564912.21</v>
      </c>
      <c r="E11" s="58"/>
      <c r="F11" s="58"/>
    </row>
    <row r="12" spans="1:7" x14ac:dyDescent="0.55000000000000004">
      <c r="B12" s="17" t="s">
        <v>367</v>
      </c>
      <c r="D12" s="58">
        <f>500+3150+7000+1400+3250</f>
        <v>15300</v>
      </c>
      <c r="E12" s="58"/>
      <c r="F12" s="58"/>
    </row>
    <row r="13" spans="1:7" x14ac:dyDescent="0.55000000000000004">
      <c r="B13" s="17" t="s">
        <v>368</v>
      </c>
      <c r="D13" s="58">
        <v>36210</v>
      </c>
      <c r="E13" s="58"/>
      <c r="F13" s="58"/>
    </row>
    <row r="14" spans="1:7" x14ac:dyDescent="0.55000000000000004">
      <c r="B14" s="17" t="s">
        <v>369</v>
      </c>
      <c r="D14" s="58">
        <f>2600+840+840</f>
        <v>4280</v>
      </c>
      <c r="E14" s="58"/>
      <c r="F14" s="58"/>
    </row>
    <row r="15" spans="1:7" x14ac:dyDescent="0.55000000000000004">
      <c r="B15" s="17" t="s">
        <v>370</v>
      </c>
      <c r="D15" s="58">
        <v>4900</v>
      </c>
      <c r="E15" s="58"/>
      <c r="F15" s="58"/>
    </row>
    <row r="16" spans="1:7" x14ac:dyDescent="0.55000000000000004">
      <c r="A16" s="86" t="s">
        <v>14</v>
      </c>
      <c r="B16" s="17" t="s">
        <v>250</v>
      </c>
      <c r="D16" s="145">
        <f>-5642.96+344.85</f>
        <v>-5298.11</v>
      </c>
      <c r="E16" s="58"/>
      <c r="F16" s="58"/>
    </row>
    <row r="17" spans="1:9" x14ac:dyDescent="0.55000000000000004">
      <c r="A17" s="86"/>
      <c r="B17" s="17" t="s">
        <v>371</v>
      </c>
      <c r="D17" s="145">
        <v>-8250</v>
      </c>
      <c r="E17" s="58"/>
      <c r="F17" s="58"/>
    </row>
    <row r="18" spans="1:9" x14ac:dyDescent="0.55000000000000004">
      <c r="B18" s="17" t="s">
        <v>48</v>
      </c>
      <c r="D18" s="145">
        <v>-2714318.6</v>
      </c>
      <c r="E18" s="95"/>
      <c r="F18" s="94">
        <f>SUM(D9:D18)</f>
        <v>-236604.68999999994</v>
      </c>
    </row>
    <row r="19" spans="1:9" ht="24.75" thickBot="1" x14ac:dyDescent="0.6">
      <c r="A19" s="17" t="s">
        <v>365</v>
      </c>
      <c r="D19" s="58"/>
      <c r="E19" s="58"/>
      <c r="F19" s="57">
        <f>SUM(F5:F18)</f>
        <v>17020197.84</v>
      </c>
      <c r="I19" s="99"/>
    </row>
    <row r="20" spans="1:9" ht="24.75" thickTop="1" x14ac:dyDescent="0.55000000000000004"/>
    <row r="21" spans="1:9" x14ac:dyDescent="0.55000000000000004">
      <c r="A21" s="17" t="s">
        <v>366</v>
      </c>
    </row>
    <row r="22" spans="1:9" x14ac:dyDescent="0.55000000000000004">
      <c r="B22" s="17" t="s">
        <v>15</v>
      </c>
      <c r="F22" s="58">
        <v>7428035.8099999996</v>
      </c>
    </row>
    <row r="23" spans="1:9" x14ac:dyDescent="0.55000000000000004">
      <c r="B23" s="17" t="s">
        <v>16</v>
      </c>
      <c r="F23" s="58">
        <f>22920+5679.62+9880</f>
        <v>38479.619999999995</v>
      </c>
    </row>
    <row r="24" spans="1:9" x14ac:dyDescent="0.55000000000000004">
      <c r="B24" s="17" t="s">
        <v>251</v>
      </c>
      <c r="F24" s="58">
        <v>327455</v>
      </c>
    </row>
    <row r="25" spans="1:9" x14ac:dyDescent="0.55000000000000004">
      <c r="B25" s="17" t="s">
        <v>252</v>
      </c>
      <c r="F25" s="58">
        <v>8420674.25</v>
      </c>
    </row>
    <row r="26" spans="1:9" x14ac:dyDescent="0.55000000000000004">
      <c r="B26" s="17" t="s">
        <v>253</v>
      </c>
      <c r="F26" s="58"/>
    </row>
    <row r="27" spans="1:9" x14ac:dyDescent="0.55000000000000004">
      <c r="B27" s="17" t="s">
        <v>188</v>
      </c>
      <c r="F27" s="58">
        <f>SUM(F28-F22-F23-F25-F24)</f>
        <v>805553.16000000201</v>
      </c>
    </row>
    <row r="28" spans="1:9" ht="24.75" thickBot="1" x14ac:dyDescent="0.6">
      <c r="F28" s="57">
        <f>SUM(F19)</f>
        <v>17020197.84</v>
      </c>
    </row>
    <row r="29" spans="1:9" ht="24.75" thickTop="1" x14ac:dyDescent="0.55000000000000004">
      <c r="A29" s="56"/>
    </row>
    <row r="30" spans="1:9" x14ac:dyDescent="0.55000000000000004">
      <c r="A30" s="56"/>
    </row>
    <row r="31" spans="1:9" x14ac:dyDescent="0.55000000000000004">
      <c r="C31" s="87"/>
      <c r="F31" s="14"/>
    </row>
    <row r="32" spans="1:9" s="17" customFormat="1" x14ac:dyDescent="0.55000000000000004">
      <c r="A32" s="264" t="s">
        <v>147</v>
      </c>
      <c r="B32" s="264"/>
      <c r="C32" s="264" t="s">
        <v>148</v>
      </c>
      <c r="D32" s="264"/>
      <c r="E32" s="264" t="s">
        <v>147</v>
      </c>
      <c r="F32" s="264"/>
    </row>
    <row r="33" spans="1:12" s="16" customFormat="1" x14ac:dyDescent="0.55000000000000004">
      <c r="A33" s="259" t="s">
        <v>192</v>
      </c>
      <c r="B33" s="259"/>
      <c r="C33" s="259" t="s">
        <v>213</v>
      </c>
      <c r="D33" s="259"/>
      <c r="E33" s="259" t="s">
        <v>193</v>
      </c>
      <c r="F33" s="259"/>
    </row>
    <row r="34" spans="1:12" s="17" customFormat="1" x14ac:dyDescent="0.55000000000000004">
      <c r="A34" s="259" t="s">
        <v>171</v>
      </c>
      <c r="B34" s="259"/>
      <c r="C34" s="259" t="s">
        <v>126</v>
      </c>
      <c r="D34" s="259"/>
      <c r="E34" s="259" t="s">
        <v>127</v>
      </c>
      <c r="F34" s="259"/>
      <c r="H34" s="14"/>
      <c r="I34" s="14"/>
      <c r="K34" s="14"/>
      <c r="L34" s="14"/>
    </row>
    <row r="35" spans="1:12" s="17" customFormat="1" x14ac:dyDescent="0.55000000000000004">
      <c r="A35" s="259"/>
      <c r="B35" s="259"/>
      <c r="C35" s="259"/>
      <c r="D35" s="259"/>
      <c r="E35" s="15"/>
      <c r="F35" s="259"/>
      <c r="G35" s="259"/>
      <c r="H35" s="14"/>
      <c r="I35" s="14"/>
      <c r="K35" s="14"/>
      <c r="L35" s="14"/>
    </row>
    <row r="48" spans="1:12" x14ac:dyDescent="0.55000000000000004">
      <c r="F48" s="17" t="s">
        <v>73</v>
      </c>
    </row>
    <row r="49" spans="1:7" ht="23.25" x14ac:dyDescent="0.5">
      <c r="A49" s="283" t="s">
        <v>10</v>
      </c>
      <c r="B49" s="283"/>
      <c r="C49" s="283"/>
      <c r="D49" s="283"/>
      <c r="E49" s="283"/>
      <c r="F49" s="283"/>
      <c r="G49" s="283"/>
    </row>
    <row r="50" spans="1:7" ht="23.25" x14ac:dyDescent="0.5">
      <c r="A50" s="283" t="s">
        <v>11</v>
      </c>
      <c r="B50" s="283"/>
      <c r="C50" s="283"/>
      <c r="D50" s="283"/>
      <c r="E50" s="283"/>
      <c r="F50" s="283"/>
      <c r="G50" s="283"/>
    </row>
    <row r="51" spans="1:7" ht="23.25" x14ac:dyDescent="0.5">
      <c r="A51" s="283" t="s">
        <v>80</v>
      </c>
      <c r="B51" s="283"/>
      <c r="C51" s="283"/>
      <c r="D51" s="283"/>
      <c r="E51" s="283"/>
      <c r="F51" s="283"/>
      <c r="G51" s="283"/>
    </row>
    <row r="53" spans="1:7" x14ac:dyDescent="0.55000000000000004">
      <c r="A53" s="17" t="s">
        <v>71</v>
      </c>
      <c r="D53" s="58"/>
      <c r="E53" s="58"/>
      <c r="F53" s="58">
        <v>7413079.7000000002</v>
      </c>
    </row>
    <row r="54" spans="1:7" x14ac:dyDescent="0.55000000000000004">
      <c r="A54" s="17" t="s">
        <v>12</v>
      </c>
      <c r="B54" s="17" t="s">
        <v>13</v>
      </c>
      <c r="D54" s="58">
        <v>1558404.78</v>
      </c>
      <c r="E54" s="58"/>
      <c r="F54" s="58"/>
    </row>
    <row r="55" spans="1:7" x14ac:dyDescent="0.55000000000000004">
      <c r="B55" s="17" t="s">
        <v>63</v>
      </c>
      <c r="D55" s="100" t="s">
        <v>7</v>
      </c>
      <c r="E55" s="100"/>
      <c r="F55" s="58"/>
    </row>
    <row r="56" spans="1:7" x14ac:dyDescent="0.55000000000000004">
      <c r="B56" s="17" t="s">
        <v>76</v>
      </c>
      <c r="D56" s="101">
        <v>1958.45</v>
      </c>
      <c r="E56" s="101"/>
      <c r="F56" s="102">
        <v>1560363.23</v>
      </c>
    </row>
    <row r="57" spans="1:7" x14ac:dyDescent="0.55000000000000004">
      <c r="A57" s="17" t="s">
        <v>14</v>
      </c>
      <c r="B57" s="17" t="s">
        <v>48</v>
      </c>
      <c r="D57" s="103">
        <v>65000</v>
      </c>
      <c r="E57" s="103"/>
      <c r="F57" s="58"/>
    </row>
    <row r="58" spans="1:7" x14ac:dyDescent="0.55000000000000004">
      <c r="B58" s="17" t="s">
        <v>53</v>
      </c>
      <c r="D58" s="102">
        <v>9234</v>
      </c>
      <c r="E58" s="95"/>
      <c r="F58" s="58">
        <v>74234</v>
      </c>
    </row>
    <row r="59" spans="1:7" ht="24.75" thickBot="1" x14ac:dyDescent="0.6">
      <c r="A59" s="17" t="s">
        <v>81</v>
      </c>
      <c r="D59" s="58"/>
      <c r="E59" s="58"/>
      <c r="F59" s="57">
        <v>8899208.9299999997</v>
      </c>
    </row>
    <row r="60" spans="1:7" ht="24.75" thickTop="1" x14ac:dyDescent="0.55000000000000004"/>
    <row r="61" spans="1:7" x14ac:dyDescent="0.55000000000000004">
      <c r="A61" s="17" t="s">
        <v>82</v>
      </c>
    </row>
    <row r="62" spans="1:7" x14ac:dyDescent="0.55000000000000004">
      <c r="B62" s="17" t="s">
        <v>15</v>
      </c>
      <c r="F62" s="58">
        <v>1479938.26</v>
      </c>
    </row>
    <row r="63" spans="1:7" x14ac:dyDescent="0.55000000000000004">
      <c r="B63" s="17" t="s">
        <v>16</v>
      </c>
      <c r="F63" s="58">
        <v>75471.41</v>
      </c>
    </row>
    <row r="64" spans="1:7" x14ac:dyDescent="0.55000000000000004">
      <c r="B64" s="17" t="s">
        <v>17</v>
      </c>
      <c r="F64" s="58">
        <v>7343799.2599999998</v>
      </c>
    </row>
    <row r="65" spans="1:6" ht="24.75" thickBot="1" x14ac:dyDescent="0.6">
      <c r="F65" s="84">
        <f>SUM(F62:F64)</f>
        <v>8899208.9299999997</v>
      </c>
    </row>
    <row r="66" spans="1:6" ht="24.75" thickTop="1" x14ac:dyDescent="0.55000000000000004"/>
    <row r="67" spans="1:6" x14ac:dyDescent="0.55000000000000004">
      <c r="A67" s="56" t="s">
        <v>50</v>
      </c>
      <c r="B67" s="17" t="s">
        <v>77</v>
      </c>
    </row>
    <row r="68" spans="1:6" x14ac:dyDescent="0.55000000000000004">
      <c r="B68" s="17" t="s">
        <v>78</v>
      </c>
      <c r="C68" s="87"/>
    </row>
    <row r="69" spans="1:6" x14ac:dyDescent="0.55000000000000004">
      <c r="B69" s="17" t="s">
        <v>79</v>
      </c>
      <c r="C69" s="87"/>
    </row>
  </sheetData>
  <mergeCells count="18">
    <mergeCell ref="A50:G50"/>
    <mergeCell ref="A51:G51"/>
    <mergeCell ref="C33:D33"/>
    <mergeCell ref="E33:F33"/>
    <mergeCell ref="E34:F34"/>
    <mergeCell ref="A49:G49"/>
    <mergeCell ref="A33:B33"/>
    <mergeCell ref="A34:B34"/>
    <mergeCell ref="C34:D34"/>
    <mergeCell ref="A35:B35"/>
    <mergeCell ref="C35:D35"/>
    <mergeCell ref="F35:G35"/>
    <mergeCell ref="A1:F1"/>
    <mergeCell ref="A2:F2"/>
    <mergeCell ref="A3:F3"/>
    <mergeCell ref="A32:B32"/>
    <mergeCell ref="C32:D32"/>
    <mergeCell ref="E32:F32"/>
  </mergeCells>
  <phoneticPr fontId="10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3" sqref="A3:F3"/>
    </sheetView>
  </sheetViews>
  <sheetFormatPr defaultRowHeight="24" x14ac:dyDescent="0.55000000000000004"/>
  <cols>
    <col min="1" max="1" width="9.140625" style="17"/>
    <col min="2" max="2" width="22" style="17" customWidth="1"/>
    <col min="3" max="3" width="22.85546875" style="17" customWidth="1"/>
    <col min="4" max="4" width="15.5703125" style="17" bestFit="1" customWidth="1"/>
    <col min="5" max="5" width="17.7109375" style="17" customWidth="1"/>
    <col min="6" max="6" width="17.42578125" style="17" customWidth="1"/>
    <col min="7" max="16384" width="9.140625" style="17"/>
  </cols>
  <sheetData>
    <row r="1" spans="1:6" s="16" customFormat="1" x14ac:dyDescent="0.55000000000000004">
      <c r="A1" s="259" t="s">
        <v>160</v>
      </c>
      <c r="B1" s="259"/>
      <c r="C1" s="259"/>
      <c r="D1" s="259"/>
      <c r="E1" s="259"/>
      <c r="F1" s="259"/>
    </row>
    <row r="2" spans="1:6" s="16" customFormat="1" x14ac:dyDescent="0.55000000000000004">
      <c r="A2" s="259" t="s">
        <v>161</v>
      </c>
      <c r="B2" s="259"/>
      <c r="C2" s="259"/>
      <c r="D2" s="259"/>
      <c r="E2" s="259"/>
      <c r="F2" s="259"/>
    </row>
    <row r="3" spans="1:6" s="16" customFormat="1" x14ac:dyDescent="0.55000000000000004">
      <c r="A3" s="260" t="str">
        <f>งบการเงิน!A3</f>
        <v>ณ  วันที่  30 กันยายน  2559</v>
      </c>
      <c r="B3" s="260"/>
      <c r="C3" s="260"/>
      <c r="D3" s="260"/>
      <c r="E3" s="260"/>
      <c r="F3" s="260"/>
    </row>
    <row r="4" spans="1:6" s="15" customFormat="1" x14ac:dyDescent="0.55000000000000004">
      <c r="A4" s="21" t="s">
        <v>162</v>
      </c>
      <c r="B4" s="21" t="s">
        <v>163</v>
      </c>
      <c r="C4" s="21" t="s">
        <v>164</v>
      </c>
      <c r="D4" s="21" t="s">
        <v>165</v>
      </c>
      <c r="E4" s="21" t="s">
        <v>167</v>
      </c>
      <c r="F4" s="21" t="s">
        <v>50</v>
      </c>
    </row>
    <row r="5" spans="1:6" x14ac:dyDescent="0.55000000000000004">
      <c r="A5" s="48">
        <v>1</v>
      </c>
      <c r="B5" s="50" t="s">
        <v>166</v>
      </c>
      <c r="C5" s="88">
        <v>23000</v>
      </c>
      <c r="D5" s="88">
        <v>23000</v>
      </c>
      <c r="E5" s="48">
        <v>2553</v>
      </c>
      <c r="F5" s="89">
        <v>19603</v>
      </c>
    </row>
    <row r="6" spans="1:6" x14ac:dyDescent="0.55000000000000004">
      <c r="A6" s="51">
        <v>2</v>
      </c>
      <c r="B6" s="25" t="s">
        <v>166</v>
      </c>
      <c r="C6" s="90">
        <v>23000</v>
      </c>
      <c r="D6" s="90">
        <v>46000</v>
      </c>
      <c r="E6" s="51">
        <v>2554</v>
      </c>
      <c r="F6" s="51" t="s">
        <v>168</v>
      </c>
    </row>
    <row r="7" spans="1:6" x14ac:dyDescent="0.55000000000000004">
      <c r="A7" s="25"/>
      <c r="B7" s="25"/>
      <c r="C7" s="25"/>
      <c r="D7" s="25"/>
      <c r="E7" s="25"/>
      <c r="F7" s="25"/>
    </row>
    <row r="8" spans="1:6" x14ac:dyDescent="0.55000000000000004">
      <c r="A8" s="25"/>
      <c r="B8" s="25"/>
      <c r="C8" s="25"/>
      <c r="D8" s="25"/>
      <c r="E8" s="25"/>
      <c r="F8" s="25"/>
    </row>
    <row r="9" spans="1:6" x14ac:dyDescent="0.55000000000000004">
      <c r="A9" s="25"/>
      <c r="B9" s="25"/>
      <c r="C9" s="25"/>
      <c r="D9" s="25"/>
      <c r="E9" s="25"/>
      <c r="F9" s="25"/>
    </row>
    <row r="10" spans="1:6" x14ac:dyDescent="0.55000000000000004">
      <c r="A10" s="25"/>
      <c r="B10" s="25"/>
      <c r="C10" s="25"/>
      <c r="D10" s="25"/>
      <c r="E10" s="25"/>
      <c r="F10" s="25"/>
    </row>
    <row r="11" spans="1:6" x14ac:dyDescent="0.55000000000000004">
      <c r="A11" s="25"/>
      <c r="B11" s="25"/>
      <c r="C11" s="25"/>
      <c r="D11" s="25"/>
      <c r="E11" s="25"/>
      <c r="F11" s="25"/>
    </row>
    <row r="12" spans="1:6" x14ac:dyDescent="0.55000000000000004">
      <c r="A12" s="25"/>
      <c r="B12" s="25"/>
      <c r="C12" s="25"/>
      <c r="D12" s="25"/>
      <c r="E12" s="25"/>
      <c r="F12" s="25"/>
    </row>
    <row r="13" spans="1:6" x14ac:dyDescent="0.55000000000000004">
      <c r="A13" s="25"/>
      <c r="B13" s="25"/>
      <c r="C13" s="25"/>
      <c r="D13" s="25"/>
      <c r="E13" s="25"/>
      <c r="F13" s="25"/>
    </row>
    <row r="14" spans="1:6" x14ac:dyDescent="0.55000000000000004">
      <c r="A14" s="25"/>
      <c r="B14" s="25"/>
      <c r="C14" s="25"/>
      <c r="D14" s="25"/>
      <c r="E14" s="25"/>
      <c r="F14" s="25"/>
    </row>
    <row r="15" spans="1:6" x14ac:dyDescent="0.55000000000000004">
      <c r="A15" s="25"/>
      <c r="B15" s="25"/>
      <c r="C15" s="25"/>
      <c r="D15" s="25"/>
      <c r="E15" s="25"/>
      <c r="F15" s="25"/>
    </row>
    <row r="16" spans="1:6" x14ac:dyDescent="0.55000000000000004">
      <c r="A16" s="25"/>
      <c r="B16" s="25"/>
      <c r="C16" s="25"/>
      <c r="D16" s="25"/>
      <c r="E16" s="25"/>
      <c r="F16" s="25"/>
    </row>
    <row r="17" spans="1:12" x14ac:dyDescent="0.55000000000000004">
      <c r="A17" s="25"/>
      <c r="B17" s="25"/>
      <c r="C17" s="25"/>
      <c r="D17" s="25"/>
      <c r="E17" s="25"/>
      <c r="F17" s="25"/>
    </row>
    <row r="18" spans="1:12" x14ac:dyDescent="0.55000000000000004">
      <c r="A18" s="25"/>
      <c r="B18" s="25"/>
      <c r="C18" s="25"/>
      <c r="D18" s="25"/>
      <c r="E18" s="25"/>
      <c r="F18" s="25"/>
    </row>
    <row r="19" spans="1:12" x14ac:dyDescent="0.55000000000000004">
      <c r="A19" s="25"/>
      <c r="B19" s="25"/>
      <c r="C19" s="25"/>
      <c r="D19" s="25"/>
      <c r="E19" s="25"/>
      <c r="F19" s="25"/>
    </row>
    <row r="20" spans="1:12" x14ac:dyDescent="0.55000000000000004">
      <c r="A20" s="53"/>
      <c r="B20" s="53"/>
      <c r="C20" s="53"/>
      <c r="D20" s="53"/>
      <c r="E20" s="53"/>
      <c r="F20" s="53"/>
    </row>
    <row r="21" spans="1:12" x14ac:dyDescent="0.55000000000000004">
      <c r="A21" s="266" t="s">
        <v>9</v>
      </c>
      <c r="B21" s="272"/>
      <c r="C21" s="267"/>
      <c r="D21" s="91">
        <f>SUM(D5:D20)</f>
        <v>69000</v>
      </c>
      <c r="E21" s="12"/>
      <c r="F21" s="12"/>
    </row>
    <row r="25" spans="1:12" x14ac:dyDescent="0.55000000000000004">
      <c r="A25" s="264" t="s">
        <v>147</v>
      </c>
      <c r="B25" s="264"/>
      <c r="C25" s="264" t="s">
        <v>148</v>
      </c>
      <c r="D25" s="264"/>
      <c r="E25" s="264" t="s">
        <v>147</v>
      </c>
      <c r="F25" s="264"/>
    </row>
    <row r="26" spans="1:12" s="16" customFormat="1" x14ac:dyDescent="0.55000000000000004">
      <c r="A26" s="259" t="s">
        <v>192</v>
      </c>
      <c r="B26" s="259"/>
      <c r="C26" s="259" t="s">
        <v>213</v>
      </c>
      <c r="D26" s="259"/>
      <c r="E26" s="259" t="s">
        <v>193</v>
      </c>
      <c r="F26" s="259"/>
    </row>
    <row r="27" spans="1:12" x14ac:dyDescent="0.55000000000000004">
      <c r="A27" s="259" t="s">
        <v>171</v>
      </c>
      <c r="B27" s="259"/>
      <c r="C27" s="259" t="s">
        <v>126</v>
      </c>
      <c r="D27" s="259"/>
      <c r="E27" s="259" t="s">
        <v>127</v>
      </c>
      <c r="F27" s="259"/>
      <c r="H27" s="14"/>
      <c r="I27" s="14"/>
      <c r="K27" s="14"/>
      <c r="L27" s="14"/>
    </row>
    <row r="28" spans="1:12" x14ac:dyDescent="0.55000000000000004">
      <c r="A28" s="259"/>
      <c r="B28" s="259"/>
      <c r="C28" s="259"/>
      <c r="D28" s="259"/>
      <c r="E28" s="15"/>
      <c r="F28" s="259"/>
      <c r="G28" s="259"/>
      <c r="H28" s="14"/>
      <c r="I28" s="14"/>
      <c r="K28" s="14"/>
      <c r="L28" s="14"/>
    </row>
    <row r="29" spans="1:12" x14ac:dyDescent="0.55000000000000004">
      <c r="A29" s="264"/>
      <c r="B29" s="264"/>
      <c r="C29" s="264"/>
      <c r="D29" s="264"/>
      <c r="E29" s="264"/>
      <c r="F29" s="264"/>
    </row>
    <row r="30" spans="1:12" x14ac:dyDescent="0.55000000000000004">
      <c r="A30" s="259"/>
      <c r="B30" s="259"/>
      <c r="C30" s="259"/>
      <c r="D30" s="259"/>
      <c r="E30" s="259"/>
      <c r="F30" s="259"/>
    </row>
  </sheetData>
  <mergeCells count="22">
    <mergeCell ref="A27:B27"/>
    <mergeCell ref="C27:D27"/>
    <mergeCell ref="E27:F27"/>
    <mergeCell ref="A28:B28"/>
    <mergeCell ref="C28:D28"/>
    <mergeCell ref="F28:G28"/>
    <mergeCell ref="A1:F1"/>
    <mergeCell ref="A2:F2"/>
    <mergeCell ref="A3:F3"/>
    <mergeCell ref="A29:B29"/>
    <mergeCell ref="A30:B30"/>
    <mergeCell ref="A21:C21"/>
    <mergeCell ref="E29:F29"/>
    <mergeCell ref="E30:F30"/>
    <mergeCell ref="C29:D29"/>
    <mergeCell ref="C30:D30"/>
    <mergeCell ref="A25:B25"/>
    <mergeCell ref="C25:D25"/>
    <mergeCell ref="E25:F25"/>
    <mergeCell ref="A26:B26"/>
    <mergeCell ref="C26:D26"/>
    <mergeCell ref="E26:F26"/>
  </mergeCells>
  <phoneticPr fontId="10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T47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1" sqref="B11:C11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6" width="21.7109375" style="17" customWidth="1"/>
    <col min="7" max="7" width="23.7109375" style="17" customWidth="1"/>
    <col min="8" max="8" width="21.7109375" style="17" customWidth="1"/>
    <col min="9" max="9" width="15.7109375" style="17" customWidth="1"/>
    <col min="10" max="10" width="13" style="17" customWidth="1"/>
    <col min="11" max="11" width="13.28515625" style="17" customWidth="1"/>
    <col min="12" max="12" width="12" style="17" customWidth="1"/>
    <col min="13" max="14" width="14.28515625" style="17" customWidth="1"/>
    <col min="15" max="15" width="15.85546875" style="17" customWidth="1"/>
    <col min="16" max="16" width="13" style="17" customWidth="1"/>
    <col min="17" max="17" width="15.28515625" style="17" customWidth="1"/>
    <col min="18" max="18" width="13.7109375" style="17" customWidth="1"/>
    <col min="19" max="19" width="12.42578125" style="17" customWidth="1"/>
    <col min="20" max="20" width="11.85546875" style="17" customWidth="1"/>
    <col min="21" max="21" width="14.28515625" style="17" customWidth="1"/>
    <col min="22" max="16384" width="13" style="17"/>
  </cols>
  <sheetData>
    <row r="1" spans="1:20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55000000000000004">
      <c r="A2" s="259" t="s">
        <v>149</v>
      </c>
      <c r="B2" s="259"/>
      <c r="C2" s="259"/>
      <c r="D2" s="259"/>
      <c r="E2" s="259"/>
      <c r="F2" s="259"/>
      <c r="G2" s="259"/>
      <c r="H2" s="25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55000000000000004">
      <c r="A3" s="260" t="s">
        <v>372</v>
      </c>
      <c r="B3" s="260"/>
      <c r="C3" s="260"/>
      <c r="D3" s="260"/>
      <c r="E3" s="260"/>
      <c r="F3" s="260"/>
      <c r="G3" s="260"/>
      <c r="H3" s="260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232</v>
      </c>
      <c r="F4" s="286" t="s">
        <v>262</v>
      </c>
      <c r="G4" s="286" t="s">
        <v>263</v>
      </c>
      <c r="H4" s="286" t="s">
        <v>9</v>
      </c>
    </row>
    <row r="5" spans="1:20" x14ac:dyDescent="0.55000000000000004">
      <c r="A5" s="287"/>
      <c r="B5" s="285"/>
      <c r="C5" s="287"/>
      <c r="D5" s="287"/>
      <c r="E5" s="287"/>
      <c r="F5" s="287"/>
      <c r="G5" s="287"/>
      <c r="H5" s="287"/>
    </row>
    <row r="6" spans="1:20" x14ac:dyDescent="0.55000000000000004">
      <c r="A6" s="110"/>
      <c r="B6" s="110"/>
      <c r="C6" s="110"/>
      <c r="D6" s="110"/>
      <c r="E6" s="110"/>
      <c r="F6" s="110"/>
      <c r="G6" s="110"/>
      <c r="H6" s="110"/>
    </row>
    <row r="7" spans="1:20" x14ac:dyDescent="0.55000000000000004">
      <c r="A7" s="147" t="s">
        <v>257</v>
      </c>
      <c r="B7" s="147" t="s">
        <v>144</v>
      </c>
      <c r="C7" s="147" t="s">
        <v>234</v>
      </c>
      <c r="D7" s="72">
        <f>2850000-92000</f>
        <v>2758000</v>
      </c>
      <c r="E7" s="73">
        <v>2373600</v>
      </c>
      <c r="F7" s="73">
        <v>0</v>
      </c>
      <c r="G7" s="73">
        <v>0</v>
      </c>
      <c r="H7" s="73">
        <f>SUM(E7:G7)</f>
        <v>2373600</v>
      </c>
      <c r="I7" s="67"/>
    </row>
    <row r="8" spans="1:20" x14ac:dyDescent="0.55000000000000004">
      <c r="A8" s="147"/>
      <c r="B8" s="147" t="s">
        <v>145</v>
      </c>
      <c r="C8" s="147" t="s">
        <v>234</v>
      </c>
      <c r="D8" s="72">
        <f>4138400+16000-506000+2062000-170000</f>
        <v>5540400</v>
      </c>
      <c r="E8" s="73">
        <v>3103003.45</v>
      </c>
      <c r="F8" s="73">
        <v>0</v>
      </c>
      <c r="G8" s="73">
        <v>1405196.79</v>
      </c>
      <c r="H8" s="73">
        <f t="shared" ref="H8:H20" si="0">SUM(E8:G8)</f>
        <v>4508200.24</v>
      </c>
    </row>
    <row r="9" spans="1:20" x14ac:dyDescent="0.55000000000000004">
      <c r="A9" s="147" t="s">
        <v>258</v>
      </c>
      <c r="B9" s="10" t="s">
        <v>25</v>
      </c>
      <c r="C9" s="147" t="s">
        <v>234</v>
      </c>
      <c r="D9" s="72">
        <f>398000+1002000-80000+101000+13000</f>
        <v>1434000</v>
      </c>
      <c r="E9" s="72">
        <f>221408+617100</f>
        <v>838508</v>
      </c>
      <c r="F9" s="72">
        <v>0</v>
      </c>
      <c r="G9" s="72">
        <v>74407</v>
      </c>
      <c r="H9" s="73">
        <f t="shared" si="0"/>
        <v>912915</v>
      </c>
    </row>
    <row r="10" spans="1:20" x14ac:dyDescent="0.55000000000000004">
      <c r="A10" s="147" t="s">
        <v>20</v>
      </c>
      <c r="B10" s="151" t="s">
        <v>26</v>
      </c>
      <c r="C10" s="147" t="s">
        <v>234</v>
      </c>
      <c r="D10" s="146">
        <f>1430000+580000-292000+52000+342000+50000</f>
        <v>2162000</v>
      </c>
      <c r="E10" s="146">
        <f>1521713.56+8540</f>
        <v>1530253.56</v>
      </c>
      <c r="F10" s="146">
        <v>48925</v>
      </c>
      <c r="G10" s="146">
        <v>315831.53999999998</v>
      </c>
      <c r="H10" s="73">
        <f t="shared" si="0"/>
        <v>1895010.1</v>
      </c>
    </row>
    <row r="11" spans="1:20" x14ac:dyDescent="0.55000000000000004">
      <c r="A11" s="147"/>
      <c r="B11" s="151" t="s">
        <v>26</v>
      </c>
      <c r="C11" s="147" t="s">
        <v>292</v>
      </c>
      <c r="D11" s="146"/>
      <c r="E11" s="146">
        <v>0</v>
      </c>
      <c r="F11" s="146">
        <v>0</v>
      </c>
      <c r="G11" s="146">
        <v>0</v>
      </c>
      <c r="H11" s="73">
        <f t="shared" si="0"/>
        <v>0</v>
      </c>
    </row>
    <row r="12" spans="1:20" x14ac:dyDescent="0.55000000000000004">
      <c r="A12" s="147"/>
      <c r="B12" s="147" t="s">
        <v>27</v>
      </c>
      <c r="C12" s="147" t="s">
        <v>234</v>
      </c>
      <c r="D12" s="146">
        <f>385000+210000+200000+170000</f>
        <v>965000</v>
      </c>
      <c r="E12" s="146">
        <v>521082.5</v>
      </c>
      <c r="F12" s="146">
        <v>0</v>
      </c>
      <c r="G12" s="146">
        <v>291799.71999999997</v>
      </c>
      <c r="H12" s="73">
        <f t="shared" si="0"/>
        <v>812882.22</v>
      </c>
      <c r="I12" s="67"/>
    </row>
    <row r="13" spans="1:20" x14ac:dyDescent="0.55000000000000004">
      <c r="A13" s="147"/>
      <c r="B13" s="147" t="s">
        <v>28</v>
      </c>
      <c r="C13" s="147" t="s">
        <v>234</v>
      </c>
      <c r="D13" s="146">
        <f>810000+190000-5000+20000</f>
        <v>1015000</v>
      </c>
      <c r="E13" s="146">
        <v>808957.68</v>
      </c>
      <c r="F13" s="146">
        <v>0</v>
      </c>
      <c r="G13" s="146">
        <v>11594</v>
      </c>
      <c r="H13" s="73">
        <f t="shared" si="0"/>
        <v>820551.68000000005</v>
      </c>
    </row>
    <row r="14" spans="1:20" x14ac:dyDescent="0.55000000000000004">
      <c r="A14" s="147" t="s">
        <v>259</v>
      </c>
      <c r="B14" s="147" t="s">
        <v>349</v>
      </c>
      <c r="C14" s="147" t="s">
        <v>234</v>
      </c>
      <c r="D14" s="72">
        <f>742500+40000-33000+110500</f>
        <v>860000</v>
      </c>
      <c r="E14" s="72">
        <v>701830</v>
      </c>
      <c r="F14" s="72">
        <v>0</v>
      </c>
      <c r="G14" s="72">
        <v>73800</v>
      </c>
      <c r="H14" s="73">
        <f t="shared" si="0"/>
        <v>775630</v>
      </c>
    </row>
    <row r="15" spans="1:20" x14ac:dyDescent="0.55000000000000004">
      <c r="A15" s="147"/>
      <c r="B15" s="147" t="s">
        <v>52</v>
      </c>
      <c r="C15" s="147" t="s">
        <v>234</v>
      </c>
      <c r="D15" s="72">
        <v>270000</v>
      </c>
      <c r="E15" s="73">
        <v>266700</v>
      </c>
      <c r="F15" s="73">
        <v>0</v>
      </c>
      <c r="G15" s="73"/>
      <c r="H15" s="73">
        <f t="shared" si="0"/>
        <v>266700</v>
      </c>
    </row>
    <row r="16" spans="1:20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v>0</v>
      </c>
      <c r="H16" s="73">
        <f t="shared" si="0"/>
        <v>0</v>
      </c>
    </row>
    <row r="17" spans="1:8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73">
        <v>0</v>
      </c>
      <c r="F17" s="73">
        <v>0</v>
      </c>
      <c r="G17" s="73">
        <v>0</v>
      </c>
      <c r="H17" s="73">
        <f t="shared" si="0"/>
        <v>0</v>
      </c>
    </row>
    <row r="18" spans="1:8" x14ac:dyDescent="0.55000000000000004">
      <c r="A18" s="147" t="s">
        <v>261</v>
      </c>
      <c r="B18" s="10" t="s">
        <v>29</v>
      </c>
      <c r="C18" s="147" t="s">
        <v>234</v>
      </c>
      <c r="D18" s="73">
        <v>25000</v>
      </c>
      <c r="E18" s="73">
        <v>25000</v>
      </c>
      <c r="F18" s="73">
        <v>0</v>
      </c>
      <c r="G18" s="73">
        <v>0</v>
      </c>
      <c r="H18" s="73">
        <f t="shared" si="0"/>
        <v>25000</v>
      </c>
    </row>
    <row r="19" spans="1:8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69">
        <v>0</v>
      </c>
      <c r="F19" s="69">
        <v>0</v>
      </c>
      <c r="G19" s="69">
        <v>0</v>
      </c>
      <c r="H19" s="73">
        <f t="shared" si="0"/>
        <v>0</v>
      </c>
    </row>
    <row r="20" spans="1:8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f t="shared" si="0"/>
        <v>0</v>
      </c>
    </row>
    <row r="21" spans="1:8" x14ac:dyDescent="0.55000000000000004">
      <c r="A21" s="148"/>
      <c r="B21" s="147"/>
      <c r="C21" s="147"/>
      <c r="D21" s="72"/>
      <c r="E21" s="72"/>
      <c r="F21" s="73"/>
      <c r="G21" s="73"/>
      <c r="H21" s="73"/>
    </row>
    <row r="22" spans="1:8" x14ac:dyDescent="0.55000000000000004">
      <c r="A22" s="148"/>
      <c r="B22" s="147"/>
      <c r="C22" s="147"/>
      <c r="D22" s="72"/>
      <c r="E22" s="72"/>
      <c r="F22" s="73"/>
      <c r="G22" s="73"/>
      <c r="H22" s="73"/>
    </row>
    <row r="23" spans="1:8" x14ac:dyDescent="0.55000000000000004">
      <c r="A23" s="149"/>
      <c r="B23" s="152"/>
      <c r="C23" s="152"/>
      <c r="D23" s="150"/>
      <c r="E23" s="150"/>
      <c r="F23" s="153"/>
      <c r="G23" s="153"/>
      <c r="H23" s="153"/>
    </row>
    <row r="24" spans="1:8" ht="24.75" thickBot="1" x14ac:dyDescent="0.6">
      <c r="A24" s="124"/>
      <c r="B24" s="123" t="s">
        <v>9</v>
      </c>
      <c r="C24" s="123"/>
      <c r="D24" s="74">
        <f>SUM(D7:D23)</f>
        <v>15029400</v>
      </c>
      <c r="E24" s="75">
        <f>SUM(E7:E23)</f>
        <v>10168935.189999999</v>
      </c>
      <c r="F24" s="74">
        <f>SUM(F7:F23)</f>
        <v>48925</v>
      </c>
      <c r="G24" s="74">
        <f>SUM(G7:G23)</f>
        <v>2172629.0499999998</v>
      </c>
      <c r="H24" s="76">
        <f>SUM(H7:H23)</f>
        <v>12390489.24</v>
      </c>
    </row>
    <row r="25" spans="1:8" ht="24.75" thickTop="1" x14ac:dyDescent="0.55000000000000004">
      <c r="A25" s="77"/>
      <c r="B25" s="36"/>
      <c r="C25" s="36"/>
      <c r="D25" s="78"/>
      <c r="E25" s="78"/>
      <c r="F25" s="78"/>
      <c r="G25" s="78"/>
      <c r="H25" s="79"/>
    </row>
    <row r="26" spans="1:8" x14ac:dyDescent="0.55000000000000004">
      <c r="A26" s="77"/>
      <c r="B26" s="36"/>
      <c r="C26" s="36"/>
      <c r="D26" s="78"/>
      <c r="E26" s="78"/>
      <c r="F26" s="78"/>
      <c r="G26" s="78"/>
      <c r="H26" s="79"/>
    </row>
    <row r="27" spans="1:8" x14ac:dyDescent="0.55000000000000004">
      <c r="A27" s="77"/>
      <c r="B27" s="36"/>
      <c r="C27" s="36"/>
      <c r="D27" s="78"/>
      <c r="E27" s="78"/>
      <c r="F27" s="78"/>
      <c r="G27" s="78"/>
      <c r="H27" s="79"/>
    </row>
    <row r="28" spans="1:8" x14ac:dyDescent="0.55000000000000004">
      <c r="A28" s="77"/>
      <c r="B28" s="36"/>
      <c r="C28" s="36"/>
      <c r="D28" s="78"/>
      <c r="E28" s="78"/>
      <c r="F28" s="78"/>
      <c r="G28" s="78"/>
      <c r="H28" s="79"/>
    </row>
    <row r="29" spans="1:8" x14ac:dyDescent="0.55000000000000004">
      <c r="A29" s="77"/>
      <c r="B29" s="36"/>
      <c r="C29" s="36"/>
      <c r="D29" s="78"/>
      <c r="E29" s="78"/>
      <c r="F29" s="78"/>
      <c r="G29" s="78"/>
      <c r="H29" s="79"/>
    </row>
    <row r="30" spans="1:8" x14ac:dyDescent="0.55000000000000004">
      <c r="A30" s="77"/>
      <c r="B30" s="36"/>
      <c r="C30" s="36"/>
      <c r="D30" s="78"/>
      <c r="E30" s="78"/>
      <c r="F30" s="78"/>
      <c r="G30" s="78"/>
      <c r="H30" s="79"/>
    </row>
    <row r="31" spans="1:8" x14ac:dyDescent="0.55000000000000004">
      <c r="A31" s="77"/>
      <c r="B31" s="36"/>
      <c r="C31" s="36"/>
      <c r="D31" s="78"/>
      <c r="E31" s="78"/>
      <c r="F31" s="78"/>
      <c r="G31" s="78"/>
      <c r="H31" s="79"/>
    </row>
    <row r="32" spans="1:8" x14ac:dyDescent="0.55000000000000004">
      <c r="A32" s="77"/>
      <c r="B32" s="36"/>
      <c r="C32" s="36"/>
      <c r="D32" s="78"/>
      <c r="E32" s="78"/>
      <c r="F32" s="78"/>
      <c r="G32" s="78"/>
      <c r="H32" s="79"/>
    </row>
    <row r="33" spans="1:8" x14ac:dyDescent="0.55000000000000004">
      <c r="A33" s="77"/>
      <c r="B33" s="36"/>
      <c r="C33" s="36"/>
      <c r="D33" s="78"/>
      <c r="E33" s="78"/>
      <c r="F33" s="78"/>
      <c r="G33" s="78"/>
      <c r="H33" s="79"/>
    </row>
    <row r="34" spans="1:8" x14ac:dyDescent="0.55000000000000004">
      <c r="A34" s="77"/>
      <c r="B34" s="36"/>
      <c r="C34" s="36"/>
      <c r="D34" s="78"/>
      <c r="E34" s="78"/>
      <c r="F34" s="78"/>
      <c r="G34" s="78"/>
      <c r="H34" s="79"/>
    </row>
    <row r="35" spans="1:8" x14ac:dyDescent="0.55000000000000004">
      <c r="A35" s="77"/>
      <c r="B35" s="36"/>
      <c r="C35" s="36"/>
      <c r="D35" s="78"/>
      <c r="E35" s="78"/>
      <c r="F35" s="78"/>
      <c r="G35" s="78"/>
      <c r="H35" s="79"/>
    </row>
    <row r="36" spans="1:8" x14ac:dyDescent="0.55000000000000004">
      <c r="A36" s="77"/>
      <c r="B36" s="36"/>
      <c r="C36" s="36"/>
      <c r="D36" s="78"/>
      <c r="E36" s="78"/>
      <c r="F36" s="78"/>
      <c r="G36" s="78"/>
      <c r="H36" s="79"/>
    </row>
    <row r="37" spans="1:8" x14ac:dyDescent="0.55000000000000004">
      <c r="A37" s="77"/>
      <c r="B37" s="36"/>
      <c r="C37" s="36"/>
      <c r="D37" s="78"/>
      <c r="E37" s="78"/>
      <c r="F37" s="78"/>
      <c r="G37" s="78"/>
      <c r="H37" s="79"/>
    </row>
    <row r="38" spans="1:8" x14ac:dyDescent="0.55000000000000004">
      <c r="A38" s="77"/>
      <c r="B38" s="36"/>
      <c r="C38" s="36"/>
      <c r="D38" s="78"/>
      <c r="E38" s="78"/>
      <c r="F38" s="78"/>
      <c r="G38" s="78"/>
      <c r="H38" s="79"/>
    </row>
    <row r="39" spans="1:8" x14ac:dyDescent="0.55000000000000004">
      <c r="A39" s="77"/>
      <c r="B39" s="36"/>
      <c r="C39" s="36"/>
      <c r="D39" s="78"/>
      <c r="E39" s="78"/>
      <c r="F39" s="78"/>
      <c r="G39" s="78"/>
      <c r="H39" s="79"/>
    </row>
    <row r="40" spans="1:8" x14ac:dyDescent="0.55000000000000004">
      <c r="A40" s="77"/>
      <c r="B40" s="36"/>
      <c r="C40" s="36"/>
      <c r="D40" s="78"/>
      <c r="E40" s="78"/>
      <c r="F40" s="78"/>
      <c r="G40" s="78"/>
      <c r="H40" s="79"/>
    </row>
    <row r="41" spans="1:8" x14ac:dyDescent="0.55000000000000004">
      <c r="A41" s="77"/>
      <c r="B41" s="36"/>
      <c r="C41" s="36"/>
      <c r="D41" s="78"/>
      <c r="E41" s="78"/>
      <c r="F41" s="78"/>
      <c r="G41" s="78"/>
      <c r="H41" s="79"/>
    </row>
    <row r="42" spans="1:8" x14ac:dyDescent="0.55000000000000004">
      <c r="A42" s="77"/>
      <c r="B42" s="36"/>
      <c r="C42" s="36"/>
      <c r="D42" s="78"/>
      <c r="E42" s="78"/>
      <c r="F42" s="78"/>
      <c r="G42" s="78"/>
      <c r="H42" s="79"/>
    </row>
    <row r="43" spans="1:8" x14ac:dyDescent="0.55000000000000004">
      <c r="A43" s="77"/>
      <c r="B43" s="36"/>
      <c r="C43" s="36"/>
      <c r="D43" s="78"/>
      <c r="E43" s="78"/>
      <c r="F43" s="78"/>
      <c r="G43" s="78"/>
      <c r="H43" s="79"/>
    </row>
    <row r="44" spans="1:8" x14ac:dyDescent="0.55000000000000004">
      <c r="A44" s="77"/>
      <c r="B44" s="36"/>
      <c r="C44" s="36"/>
      <c r="D44" s="78"/>
      <c r="E44" s="78"/>
      <c r="F44" s="78"/>
      <c r="G44" s="78"/>
      <c r="H44" s="79"/>
    </row>
    <row r="45" spans="1:8" x14ac:dyDescent="0.55000000000000004">
      <c r="A45" s="77"/>
      <c r="B45" s="36"/>
      <c r="C45" s="36"/>
      <c r="D45" s="78"/>
      <c r="E45" s="78"/>
      <c r="F45" s="78"/>
      <c r="G45" s="78"/>
      <c r="H45" s="79"/>
    </row>
    <row r="46" spans="1:8" x14ac:dyDescent="0.55000000000000004">
      <c r="A46" s="77"/>
      <c r="B46" s="36"/>
      <c r="C46" s="36"/>
      <c r="D46" s="78"/>
      <c r="E46" s="78"/>
      <c r="F46" s="78"/>
      <c r="G46" s="78"/>
      <c r="H46" s="79"/>
    </row>
    <row r="47" spans="1:8" x14ac:dyDescent="0.55000000000000004">
      <c r="A47" s="77"/>
      <c r="B47" s="36"/>
      <c r="C47" s="36"/>
      <c r="D47" s="78"/>
      <c r="E47" s="78"/>
      <c r="F47" s="78"/>
      <c r="G47" s="78"/>
      <c r="H47" s="79"/>
    </row>
  </sheetData>
  <mergeCells count="11">
    <mergeCell ref="B4:B5"/>
    <mergeCell ref="C4:C5"/>
    <mergeCell ref="D4:D5"/>
    <mergeCell ref="E4:E5"/>
    <mergeCell ref="A1:H1"/>
    <mergeCell ref="A2:H2"/>
    <mergeCell ref="A3:H3"/>
    <mergeCell ref="F4:F5"/>
    <mergeCell ref="G4:G5"/>
    <mergeCell ref="H4:H5"/>
    <mergeCell ref="A4:A5"/>
  </mergeCells>
  <phoneticPr fontId="8" type="noConversion"/>
  <printOptions horizontalCentered="1"/>
  <pageMargins left="7.874015748031496E-2" right="7.874015748031496E-2" top="0.59055118110236227" bottom="0.47244094488188981" header="0.51181102362204722" footer="0.51181102362204722"/>
  <pageSetup paperSize="9" scale="85" orientation="landscape" horizontalDpi="180" verticalDpi="18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T47"/>
  <sheetViews>
    <sheetView zoomScale="90" zoomScaleNormal="90" workbookViewId="0">
      <selection activeCell="H11" sqref="H11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6" width="21.7109375" style="17" customWidth="1"/>
    <col min="7" max="7" width="23.7109375" style="17" customWidth="1"/>
    <col min="8" max="8" width="21.7109375" style="17" customWidth="1"/>
    <col min="9" max="9" width="15.7109375" style="17" customWidth="1"/>
    <col min="10" max="10" width="13" style="17" customWidth="1"/>
    <col min="11" max="11" width="13.28515625" style="17" customWidth="1"/>
    <col min="12" max="12" width="12" style="17" customWidth="1"/>
    <col min="13" max="14" width="14.28515625" style="17" customWidth="1"/>
    <col min="15" max="15" width="15.85546875" style="17" customWidth="1"/>
    <col min="16" max="16" width="13" style="17" customWidth="1"/>
    <col min="17" max="17" width="15.28515625" style="17" customWidth="1"/>
    <col min="18" max="18" width="13.7109375" style="17" customWidth="1"/>
    <col min="19" max="19" width="12.42578125" style="17" customWidth="1"/>
    <col min="20" max="20" width="11.85546875" style="17" customWidth="1"/>
    <col min="21" max="21" width="14.28515625" style="17" customWidth="1"/>
    <col min="22" max="16384" width="13" style="17"/>
  </cols>
  <sheetData>
    <row r="1" spans="1:20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55000000000000004">
      <c r="A2" s="259" t="s">
        <v>264</v>
      </c>
      <c r="B2" s="259"/>
      <c r="C2" s="259"/>
      <c r="D2" s="259"/>
      <c r="E2" s="259"/>
      <c r="F2" s="259"/>
      <c r="G2" s="259"/>
      <c r="H2" s="25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267</v>
      </c>
      <c r="F4" s="286" t="s">
        <v>55</v>
      </c>
      <c r="G4" s="286" t="s">
        <v>265</v>
      </c>
      <c r="H4" s="286" t="s">
        <v>9</v>
      </c>
    </row>
    <row r="5" spans="1:20" x14ac:dyDescent="0.55000000000000004">
      <c r="A5" s="287"/>
      <c r="B5" s="285"/>
      <c r="C5" s="287"/>
      <c r="D5" s="287"/>
      <c r="E5" s="287"/>
      <c r="F5" s="287"/>
      <c r="G5" s="287"/>
      <c r="H5" s="287"/>
    </row>
    <row r="6" spans="1:20" x14ac:dyDescent="0.55000000000000004">
      <c r="A6" s="110"/>
      <c r="B6" s="110"/>
      <c r="C6" s="110"/>
      <c r="D6" s="110"/>
      <c r="E6" s="110"/>
      <c r="F6" s="110"/>
      <c r="G6" s="110"/>
      <c r="H6" s="110"/>
    </row>
    <row r="7" spans="1:20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v>0</v>
      </c>
      <c r="H7" s="73">
        <f>SUM(E7:G7)</f>
        <v>0</v>
      </c>
      <c r="I7" s="67"/>
    </row>
    <row r="8" spans="1:20" x14ac:dyDescent="0.55000000000000004">
      <c r="A8" s="147"/>
      <c r="B8" s="147" t="s">
        <v>145</v>
      </c>
      <c r="C8" s="147" t="s">
        <v>234</v>
      </c>
      <c r="D8" s="72">
        <f>1507000+22000-150000</f>
        <v>1379000</v>
      </c>
      <c r="E8" s="73">
        <v>1095798.06</v>
      </c>
      <c r="F8" s="73">
        <v>0</v>
      </c>
      <c r="G8" s="73">
        <v>0</v>
      </c>
      <c r="H8" s="73">
        <f t="shared" ref="H8:H20" si="0">SUM(E8:G8)</f>
        <v>1095798.06</v>
      </c>
    </row>
    <row r="9" spans="1:20" x14ac:dyDescent="0.55000000000000004">
      <c r="A9" s="147" t="s">
        <v>258</v>
      </c>
      <c r="B9" s="10" t="s">
        <v>25</v>
      </c>
      <c r="C9" s="147" t="s">
        <v>234</v>
      </c>
      <c r="D9" s="72">
        <f>76000-45000</f>
        <v>31000</v>
      </c>
      <c r="E9" s="72">
        <v>9000</v>
      </c>
      <c r="F9" s="72">
        <v>0</v>
      </c>
      <c r="G9" s="72">
        <v>0</v>
      </c>
      <c r="H9" s="73">
        <f t="shared" si="0"/>
        <v>9000</v>
      </c>
    </row>
    <row r="10" spans="1:20" x14ac:dyDescent="0.55000000000000004">
      <c r="A10" s="147" t="s">
        <v>20</v>
      </c>
      <c r="B10" s="151" t="s">
        <v>26</v>
      </c>
      <c r="C10" s="147" t="s">
        <v>234</v>
      </c>
      <c r="D10" s="146">
        <f>170000+60000-6000+80000+15000</f>
        <v>319000</v>
      </c>
      <c r="E10" s="146">
        <v>183155.78</v>
      </c>
      <c r="F10" s="146">
        <v>0</v>
      </c>
      <c r="G10" s="146">
        <v>89727.2</v>
      </c>
      <c r="H10" s="73">
        <f t="shared" si="0"/>
        <v>272882.98</v>
      </c>
    </row>
    <row r="11" spans="1:20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146"/>
      <c r="H11" s="73">
        <f t="shared" si="0"/>
        <v>0</v>
      </c>
    </row>
    <row r="12" spans="1:20" x14ac:dyDescent="0.55000000000000004">
      <c r="A12" s="147"/>
      <c r="B12" s="147" t="s">
        <v>27</v>
      </c>
      <c r="C12" s="147" t="s">
        <v>234</v>
      </c>
      <c r="D12" s="146">
        <f>445000+23000-120000</f>
        <v>348000</v>
      </c>
      <c r="E12" s="146">
        <v>299319.37</v>
      </c>
      <c r="F12" s="146">
        <v>0</v>
      </c>
      <c r="G12" s="146">
        <v>0</v>
      </c>
      <c r="H12" s="73">
        <f t="shared" si="0"/>
        <v>299319.37</v>
      </c>
      <c r="I12" s="67"/>
    </row>
    <row r="13" spans="1:20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146">
        <v>0</v>
      </c>
      <c r="H13" s="73">
        <f t="shared" si="0"/>
        <v>0</v>
      </c>
    </row>
    <row r="14" spans="1:20" x14ac:dyDescent="0.55000000000000004">
      <c r="A14" s="147" t="s">
        <v>259</v>
      </c>
      <c r="B14" s="147" t="s">
        <v>349</v>
      </c>
      <c r="C14" s="147" t="s">
        <v>234</v>
      </c>
      <c r="D14" s="72">
        <f>500000+30000</f>
        <v>530000</v>
      </c>
      <c r="E14" s="72">
        <v>498000</v>
      </c>
      <c r="F14" s="72">
        <v>0</v>
      </c>
      <c r="G14" s="72">
        <v>30000</v>
      </c>
      <c r="H14" s="73">
        <f t="shared" si="0"/>
        <v>528000</v>
      </c>
    </row>
    <row r="15" spans="1:20" x14ac:dyDescent="0.55000000000000004">
      <c r="A15" s="147"/>
      <c r="B15" s="147" t="s">
        <v>52</v>
      </c>
      <c r="C15" s="147" t="s">
        <v>234</v>
      </c>
      <c r="D15" s="72">
        <v>0</v>
      </c>
      <c r="E15" s="73">
        <v>0</v>
      </c>
      <c r="F15" s="73">
        <v>0</v>
      </c>
      <c r="G15" s="73">
        <v>0</v>
      </c>
      <c r="H15" s="73">
        <f t="shared" si="0"/>
        <v>0</v>
      </c>
    </row>
    <row r="16" spans="1:20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v>0</v>
      </c>
      <c r="H16" s="73">
        <f t="shared" si="0"/>
        <v>0</v>
      </c>
    </row>
    <row r="17" spans="1:8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73">
        <v>0</v>
      </c>
      <c r="F17" s="73">
        <v>0</v>
      </c>
      <c r="G17" s="73">
        <v>0</v>
      </c>
      <c r="H17" s="73">
        <f t="shared" si="0"/>
        <v>0</v>
      </c>
    </row>
    <row r="18" spans="1:8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73">
        <v>0</v>
      </c>
      <c r="F18" s="73">
        <v>0</v>
      </c>
      <c r="G18" s="73">
        <v>0</v>
      </c>
      <c r="H18" s="73">
        <f t="shared" si="0"/>
        <v>0</v>
      </c>
    </row>
    <row r="19" spans="1:8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69">
        <v>0</v>
      </c>
      <c r="F19" s="69">
        <v>0</v>
      </c>
      <c r="G19" s="69">
        <v>0</v>
      </c>
      <c r="H19" s="73">
        <f t="shared" si="0"/>
        <v>0</v>
      </c>
    </row>
    <row r="20" spans="1:8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f t="shared" si="0"/>
        <v>0</v>
      </c>
    </row>
    <row r="21" spans="1:8" x14ac:dyDescent="0.55000000000000004">
      <c r="A21" s="148"/>
      <c r="B21" s="147"/>
      <c r="C21" s="147"/>
      <c r="D21" s="72"/>
      <c r="E21" s="72"/>
      <c r="F21" s="73"/>
      <c r="G21" s="73"/>
      <c r="H21" s="73"/>
    </row>
    <row r="22" spans="1:8" x14ac:dyDescent="0.55000000000000004">
      <c r="A22" s="148"/>
      <c r="B22" s="147"/>
      <c r="C22" s="147"/>
      <c r="D22" s="72"/>
      <c r="E22" s="72"/>
      <c r="F22" s="73"/>
      <c r="G22" s="73"/>
      <c r="H22" s="73"/>
    </row>
    <row r="23" spans="1:8" x14ac:dyDescent="0.55000000000000004">
      <c r="A23" s="149"/>
      <c r="B23" s="152"/>
      <c r="C23" s="152"/>
      <c r="D23" s="150"/>
      <c r="E23" s="150"/>
      <c r="F23" s="153"/>
      <c r="G23" s="153"/>
      <c r="H23" s="153"/>
    </row>
    <row r="24" spans="1:8" ht="24.75" thickBot="1" x14ac:dyDescent="0.6">
      <c r="A24" s="124"/>
      <c r="B24" s="123" t="s">
        <v>9</v>
      </c>
      <c r="C24" s="123"/>
      <c r="D24" s="74">
        <f>SUM(D7:D23)</f>
        <v>2607000</v>
      </c>
      <c r="E24" s="75">
        <f>SUM(E7:E23)</f>
        <v>2085273.21</v>
      </c>
      <c r="F24" s="74">
        <f>SUM(F7:F23)</f>
        <v>0</v>
      </c>
      <c r="G24" s="74">
        <f>SUM(G7:G23)</f>
        <v>119727.2</v>
      </c>
      <c r="H24" s="76">
        <f>SUM(H7:H23)</f>
        <v>2205000.41</v>
      </c>
    </row>
    <row r="25" spans="1:8" ht="24.75" thickTop="1" x14ac:dyDescent="0.55000000000000004">
      <c r="A25" s="77"/>
      <c r="B25" s="36"/>
      <c r="C25" s="36"/>
      <c r="D25" s="78"/>
      <c r="E25" s="78"/>
      <c r="F25" s="78"/>
      <c r="G25" s="78"/>
      <c r="H25" s="79"/>
    </row>
    <row r="26" spans="1:8" x14ac:dyDescent="0.55000000000000004">
      <c r="A26" s="77"/>
      <c r="B26" s="36"/>
      <c r="C26" s="36"/>
      <c r="D26" s="78"/>
      <c r="E26" s="78"/>
      <c r="F26" s="78"/>
      <c r="G26" s="78"/>
      <c r="H26" s="79"/>
    </row>
    <row r="27" spans="1:8" x14ac:dyDescent="0.55000000000000004">
      <c r="A27" s="77"/>
      <c r="B27" s="36"/>
      <c r="C27" s="36"/>
      <c r="D27" s="78"/>
      <c r="E27" s="78"/>
      <c r="F27" s="78"/>
      <c r="G27" s="78"/>
      <c r="H27" s="79"/>
    </row>
    <row r="28" spans="1:8" x14ac:dyDescent="0.55000000000000004">
      <c r="A28" s="77"/>
      <c r="B28" s="36"/>
      <c r="C28" s="36"/>
      <c r="D28" s="78"/>
      <c r="E28" s="78"/>
      <c r="F28" s="78"/>
      <c r="G28" s="78"/>
      <c r="H28" s="79"/>
    </row>
    <row r="29" spans="1:8" x14ac:dyDescent="0.55000000000000004">
      <c r="A29" s="77"/>
      <c r="B29" s="36"/>
      <c r="C29" s="36"/>
      <c r="D29" s="78"/>
      <c r="E29" s="78"/>
      <c r="F29" s="78"/>
      <c r="G29" s="78"/>
      <c r="H29" s="79"/>
    </row>
    <row r="30" spans="1:8" x14ac:dyDescent="0.55000000000000004">
      <c r="A30" s="77"/>
      <c r="B30" s="36"/>
      <c r="C30" s="36"/>
      <c r="D30" s="78"/>
      <c r="E30" s="78"/>
      <c r="F30" s="78"/>
      <c r="G30" s="78"/>
      <c r="H30" s="79"/>
    </row>
    <row r="31" spans="1:8" x14ac:dyDescent="0.55000000000000004">
      <c r="A31" s="77"/>
      <c r="B31" s="36"/>
      <c r="C31" s="36"/>
      <c r="D31" s="78"/>
      <c r="E31" s="78"/>
      <c r="F31" s="78"/>
      <c r="G31" s="78"/>
      <c r="H31" s="79"/>
    </row>
    <row r="32" spans="1:8" x14ac:dyDescent="0.55000000000000004">
      <c r="A32" s="77"/>
      <c r="B32" s="36"/>
      <c r="C32" s="36"/>
      <c r="D32" s="78"/>
      <c r="E32" s="78"/>
      <c r="F32" s="78"/>
      <c r="G32" s="78"/>
      <c r="H32" s="79"/>
    </row>
    <row r="33" spans="1:8" x14ac:dyDescent="0.55000000000000004">
      <c r="A33" s="77"/>
      <c r="B33" s="36"/>
      <c r="C33" s="36"/>
      <c r="D33" s="78"/>
      <c r="E33" s="78"/>
      <c r="F33" s="78"/>
      <c r="G33" s="78"/>
      <c r="H33" s="79"/>
    </row>
    <row r="34" spans="1:8" x14ac:dyDescent="0.55000000000000004">
      <c r="A34" s="77"/>
      <c r="B34" s="36"/>
      <c r="C34" s="36"/>
      <c r="D34" s="78"/>
      <c r="E34" s="78"/>
      <c r="F34" s="78"/>
      <c r="G34" s="78"/>
      <c r="H34" s="79"/>
    </row>
    <row r="35" spans="1:8" x14ac:dyDescent="0.55000000000000004">
      <c r="A35" s="77"/>
      <c r="B35" s="36"/>
      <c r="C35" s="36"/>
      <c r="D35" s="78"/>
      <c r="E35" s="78"/>
      <c r="F35" s="78"/>
      <c r="G35" s="78"/>
      <c r="H35" s="79"/>
    </row>
    <row r="36" spans="1:8" x14ac:dyDescent="0.55000000000000004">
      <c r="A36" s="77"/>
      <c r="B36" s="36"/>
      <c r="C36" s="36"/>
      <c r="D36" s="78"/>
      <c r="E36" s="78"/>
      <c r="F36" s="78"/>
      <c r="G36" s="78"/>
      <c r="H36" s="79"/>
    </row>
    <row r="37" spans="1:8" x14ac:dyDescent="0.55000000000000004">
      <c r="A37" s="77"/>
      <c r="B37" s="36"/>
      <c r="C37" s="36"/>
      <c r="D37" s="78"/>
      <c r="E37" s="78"/>
      <c r="F37" s="78"/>
      <c r="G37" s="78"/>
      <c r="H37" s="79"/>
    </row>
    <row r="38" spans="1:8" x14ac:dyDescent="0.55000000000000004">
      <c r="A38" s="77"/>
      <c r="B38" s="36"/>
      <c r="C38" s="36"/>
      <c r="D38" s="78"/>
      <c r="E38" s="78"/>
      <c r="F38" s="78"/>
      <c r="G38" s="78"/>
      <c r="H38" s="79"/>
    </row>
    <row r="39" spans="1:8" x14ac:dyDescent="0.55000000000000004">
      <c r="A39" s="77"/>
      <c r="B39" s="36"/>
      <c r="C39" s="36"/>
      <c r="D39" s="78"/>
      <c r="E39" s="78"/>
      <c r="F39" s="78"/>
      <c r="G39" s="78"/>
      <c r="H39" s="79"/>
    </row>
    <row r="40" spans="1:8" x14ac:dyDescent="0.55000000000000004">
      <c r="A40" s="77"/>
      <c r="B40" s="36"/>
      <c r="C40" s="36"/>
      <c r="D40" s="78"/>
      <c r="E40" s="78"/>
      <c r="F40" s="78"/>
      <c r="G40" s="78"/>
      <c r="H40" s="79"/>
    </row>
    <row r="41" spans="1:8" x14ac:dyDescent="0.55000000000000004">
      <c r="A41" s="77"/>
      <c r="B41" s="36"/>
      <c r="C41" s="36"/>
      <c r="D41" s="78"/>
      <c r="E41" s="78"/>
      <c r="F41" s="78"/>
      <c r="G41" s="78"/>
      <c r="H41" s="79"/>
    </row>
    <row r="42" spans="1:8" x14ac:dyDescent="0.55000000000000004">
      <c r="A42" s="77"/>
      <c r="B42" s="36"/>
      <c r="C42" s="36"/>
      <c r="D42" s="78"/>
      <c r="E42" s="78"/>
      <c r="F42" s="78"/>
      <c r="G42" s="78"/>
      <c r="H42" s="79"/>
    </row>
    <row r="43" spans="1:8" x14ac:dyDescent="0.55000000000000004">
      <c r="A43" s="77"/>
      <c r="B43" s="36"/>
      <c r="C43" s="36"/>
      <c r="D43" s="78"/>
      <c r="E43" s="78"/>
      <c r="F43" s="78"/>
      <c r="G43" s="78"/>
      <c r="H43" s="79"/>
    </row>
    <row r="44" spans="1:8" x14ac:dyDescent="0.55000000000000004">
      <c r="A44" s="77"/>
      <c r="B44" s="36"/>
      <c r="C44" s="36"/>
      <c r="D44" s="78"/>
      <c r="E44" s="78"/>
      <c r="F44" s="78"/>
      <c r="G44" s="78"/>
      <c r="H44" s="79"/>
    </row>
    <row r="45" spans="1:8" x14ac:dyDescent="0.55000000000000004">
      <c r="A45" s="77"/>
      <c r="B45" s="36"/>
      <c r="C45" s="36"/>
      <c r="D45" s="78"/>
      <c r="E45" s="78"/>
      <c r="F45" s="78"/>
      <c r="G45" s="78"/>
      <c r="H45" s="79"/>
    </row>
    <row r="46" spans="1:8" x14ac:dyDescent="0.55000000000000004">
      <c r="A46" s="77"/>
      <c r="B46" s="36"/>
      <c r="C46" s="36"/>
      <c r="D46" s="78"/>
      <c r="E46" s="78"/>
      <c r="F46" s="78"/>
      <c r="G46" s="78"/>
      <c r="H46" s="79"/>
    </row>
    <row r="47" spans="1:8" x14ac:dyDescent="0.55000000000000004">
      <c r="A47" s="77"/>
      <c r="B47" s="36"/>
      <c r="C47" s="36"/>
      <c r="D47" s="78"/>
      <c r="E47" s="78"/>
      <c r="F47" s="78"/>
      <c r="G47" s="78"/>
      <c r="H47" s="79"/>
    </row>
  </sheetData>
  <mergeCells count="11">
    <mergeCell ref="D4:D5"/>
    <mergeCell ref="E4:E5"/>
    <mergeCell ref="F4:F5"/>
    <mergeCell ref="G4:G5"/>
    <mergeCell ref="A1:H1"/>
    <mergeCell ref="A2:H2"/>
    <mergeCell ref="A3:H3"/>
    <mergeCell ref="H4:H5"/>
    <mergeCell ref="A4:A5"/>
    <mergeCell ref="B4:B5"/>
    <mergeCell ref="C4:C5"/>
  </mergeCells>
  <phoneticPr fontId="8" type="noConversion"/>
  <printOptions horizontalCentered="1"/>
  <pageMargins left="7.874015748031496E-2" right="7.874015748031496E-2" top="0.94488188976377963" bottom="0.62992125984251968" header="0.51181102362204722" footer="0.51181102362204722"/>
  <pageSetup paperSize="9" scale="80" orientation="landscape" horizontalDpi="180" verticalDpi="18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U47"/>
  <sheetViews>
    <sheetView topLeftCell="A2" workbookViewId="0">
      <selection activeCell="F11" sqref="F11"/>
    </sheetView>
  </sheetViews>
  <sheetFormatPr defaultColWidth="13" defaultRowHeight="24" x14ac:dyDescent="0.55000000000000004"/>
  <cols>
    <col min="1" max="1" width="16.28515625" style="17" customWidth="1"/>
    <col min="2" max="2" width="20.140625" style="17" bestFit="1" customWidth="1"/>
    <col min="3" max="3" width="31.140625" style="17" customWidth="1"/>
    <col min="4" max="7" width="21.7109375" style="17" customWidth="1"/>
    <col min="8" max="8" width="23.7109375" style="17" customWidth="1"/>
    <col min="9" max="9" width="21.7109375" style="17" customWidth="1"/>
    <col min="10" max="10" width="15.7109375" style="17" customWidth="1"/>
    <col min="11" max="11" width="13" style="17" customWidth="1"/>
    <col min="12" max="12" width="13.28515625" style="17" customWidth="1"/>
    <col min="13" max="13" width="12" style="17" customWidth="1"/>
    <col min="14" max="15" width="14.28515625" style="17" customWidth="1"/>
    <col min="16" max="16" width="15.85546875" style="17" customWidth="1"/>
    <col min="17" max="17" width="13" style="17" customWidth="1"/>
    <col min="18" max="18" width="15.28515625" style="17" customWidth="1"/>
    <col min="19" max="19" width="13.7109375" style="17" customWidth="1"/>
    <col min="20" max="20" width="12.42578125" style="17" customWidth="1"/>
    <col min="21" max="21" width="11.85546875" style="17" customWidth="1"/>
    <col min="22" max="22" width="14.28515625" style="17" customWidth="1"/>
    <col min="23" max="16384" width="13" style="17"/>
  </cols>
  <sheetData>
    <row r="1" spans="1:21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55000000000000004">
      <c r="A2" s="259" t="s">
        <v>266</v>
      </c>
      <c r="B2" s="259"/>
      <c r="C2" s="259"/>
      <c r="D2" s="259"/>
      <c r="E2" s="259"/>
      <c r="F2" s="259"/>
      <c r="G2" s="259"/>
      <c r="H2" s="259"/>
      <c r="I2" s="25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84</v>
      </c>
      <c r="F4" s="286" t="s">
        <v>268</v>
      </c>
      <c r="G4" s="286" t="s">
        <v>269</v>
      </c>
      <c r="H4" s="286" t="s">
        <v>75</v>
      </c>
      <c r="I4" s="286" t="s">
        <v>9</v>
      </c>
    </row>
    <row r="5" spans="1:21" x14ac:dyDescent="0.55000000000000004">
      <c r="A5" s="287"/>
      <c r="B5" s="285"/>
      <c r="C5" s="287"/>
      <c r="D5" s="287"/>
      <c r="E5" s="287"/>
      <c r="F5" s="287"/>
      <c r="G5" s="287"/>
      <c r="H5" s="287"/>
      <c r="I5" s="287"/>
    </row>
    <row r="6" spans="1:21" x14ac:dyDescent="0.55000000000000004">
      <c r="A6" s="110"/>
      <c r="B6" s="110"/>
      <c r="C6" s="110"/>
      <c r="D6" s="110"/>
      <c r="E6" s="110"/>
      <c r="F6" s="110"/>
      <c r="G6" s="110"/>
      <c r="H6" s="110"/>
      <c r="I6" s="110"/>
    </row>
    <row r="7" spans="1:21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v>0</v>
      </c>
      <c r="H7" s="73">
        <v>0</v>
      </c>
      <c r="I7" s="73">
        <f>SUM(E7:H7)</f>
        <v>0</v>
      </c>
      <c r="J7" s="67"/>
    </row>
    <row r="8" spans="1:21" x14ac:dyDescent="0.55000000000000004">
      <c r="A8" s="147"/>
      <c r="B8" s="147" t="s">
        <v>145</v>
      </c>
      <c r="C8" s="147" t="s">
        <v>234</v>
      </c>
      <c r="D8" s="72">
        <f>1104000+103500-297500</f>
        <v>910000</v>
      </c>
      <c r="E8" s="73">
        <v>674340</v>
      </c>
      <c r="F8" s="73">
        <v>0</v>
      </c>
      <c r="G8" s="73">
        <v>0</v>
      </c>
      <c r="H8" s="73">
        <v>0</v>
      </c>
      <c r="I8" s="73">
        <f t="shared" ref="I8:I20" si="0">SUM(E8:H8)</f>
        <v>674340</v>
      </c>
    </row>
    <row r="9" spans="1:21" x14ac:dyDescent="0.55000000000000004">
      <c r="A9" s="147" t="s">
        <v>258</v>
      </c>
      <c r="B9" s="10" t="s">
        <v>25</v>
      </c>
      <c r="C9" s="147" t="s">
        <v>234</v>
      </c>
      <c r="D9" s="72">
        <v>80000</v>
      </c>
      <c r="E9" s="72">
        <v>40260</v>
      </c>
      <c r="F9" s="72">
        <v>0</v>
      </c>
      <c r="G9" s="72">
        <v>0</v>
      </c>
      <c r="H9" s="72">
        <v>0</v>
      </c>
      <c r="I9" s="73">
        <f t="shared" si="0"/>
        <v>40260</v>
      </c>
    </row>
    <row r="10" spans="1:21" x14ac:dyDescent="0.55000000000000004">
      <c r="A10" s="147" t="s">
        <v>20</v>
      </c>
      <c r="B10" s="151" t="s">
        <v>26</v>
      </c>
      <c r="C10" s="147" t="s">
        <v>234</v>
      </c>
      <c r="D10" s="146">
        <f>270000+130000-110000+534000-320000+280000</f>
        <v>784000</v>
      </c>
      <c r="E10" s="146">
        <v>239284.9</v>
      </c>
      <c r="F10" s="146">
        <f>174478.4+6500</f>
        <v>180978.4</v>
      </c>
      <c r="G10" s="146">
        <v>0</v>
      </c>
      <c r="H10" s="146">
        <v>279867.2</v>
      </c>
      <c r="I10" s="73">
        <f t="shared" si="0"/>
        <v>700130.5</v>
      </c>
    </row>
    <row r="11" spans="1:21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146"/>
      <c r="H11" s="146"/>
      <c r="I11" s="73">
        <f t="shared" si="0"/>
        <v>0</v>
      </c>
    </row>
    <row r="12" spans="1:21" x14ac:dyDescent="0.55000000000000004">
      <c r="A12" s="147"/>
      <c r="B12" s="147" t="s">
        <v>27</v>
      </c>
      <c r="C12" s="147" t="s">
        <v>234</v>
      </c>
      <c r="D12" s="146">
        <f>112000+80000+110000+80000-40000+1732560</f>
        <v>2074560</v>
      </c>
      <c r="E12" s="146">
        <v>145986</v>
      </c>
      <c r="F12" s="146">
        <v>127748</v>
      </c>
      <c r="G12" s="146">
        <v>0</v>
      </c>
      <c r="H12" s="146">
        <v>1444522.56</v>
      </c>
      <c r="I12" s="73">
        <f t="shared" si="0"/>
        <v>1718256.56</v>
      </c>
      <c r="J12" s="67"/>
    </row>
    <row r="13" spans="1:21" x14ac:dyDescent="0.55000000000000004">
      <c r="A13" s="147"/>
      <c r="B13" s="147" t="s">
        <v>28</v>
      </c>
      <c r="C13" s="147" t="s">
        <v>234</v>
      </c>
      <c r="D13" s="146">
        <v>2000</v>
      </c>
      <c r="E13" s="146">
        <v>0</v>
      </c>
      <c r="F13" s="146">
        <v>0</v>
      </c>
      <c r="G13" s="146">
        <v>0</v>
      </c>
      <c r="H13" s="146">
        <v>0</v>
      </c>
      <c r="I13" s="73">
        <f t="shared" si="0"/>
        <v>0</v>
      </c>
    </row>
    <row r="14" spans="1:21" x14ac:dyDescent="0.55000000000000004">
      <c r="A14" s="147" t="s">
        <v>259</v>
      </c>
      <c r="B14" s="147" t="s">
        <v>349</v>
      </c>
      <c r="C14" s="147" t="s">
        <v>234</v>
      </c>
      <c r="D14" s="72">
        <f>153000+210400</f>
        <v>363400</v>
      </c>
      <c r="E14" s="146">
        <v>96020</v>
      </c>
      <c r="F14" s="72">
        <v>155100</v>
      </c>
      <c r="G14" s="72">
        <v>0</v>
      </c>
      <c r="H14" s="72">
        <v>0</v>
      </c>
      <c r="I14" s="73">
        <f t="shared" si="0"/>
        <v>251120</v>
      </c>
    </row>
    <row r="15" spans="1:21" x14ac:dyDescent="0.55000000000000004">
      <c r="A15" s="147"/>
      <c r="B15" s="147" t="s">
        <v>52</v>
      </c>
      <c r="C15" s="147" t="s">
        <v>234</v>
      </c>
      <c r="D15" s="72">
        <v>2796000</v>
      </c>
      <c r="E15" s="146">
        <v>0</v>
      </c>
      <c r="F15" s="73">
        <v>2793000</v>
      </c>
      <c r="G15" s="73">
        <v>0</v>
      </c>
      <c r="H15" s="73">
        <v>0</v>
      </c>
      <c r="I15" s="73">
        <f t="shared" si="0"/>
        <v>2793000</v>
      </c>
    </row>
    <row r="16" spans="1:21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v>0</v>
      </c>
      <c r="H16" s="73">
        <v>0</v>
      </c>
      <c r="I16" s="73">
        <f t="shared" si="0"/>
        <v>0</v>
      </c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v>0</v>
      </c>
      <c r="H17" s="73">
        <v>0</v>
      </c>
      <c r="I17" s="73">
        <f t="shared" si="0"/>
        <v>0</v>
      </c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v>3332000</v>
      </c>
      <c r="E18" s="146">
        <v>0</v>
      </c>
      <c r="F18" s="73">
        <v>0</v>
      </c>
      <c r="G18" s="73">
        <v>0</v>
      </c>
      <c r="H18" s="73">
        <v>2362000</v>
      </c>
      <c r="I18" s="73">
        <f t="shared" si="0"/>
        <v>2362000</v>
      </c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69">
        <v>0</v>
      </c>
      <c r="H19" s="69">
        <v>0</v>
      </c>
      <c r="I19" s="73">
        <f t="shared" si="0"/>
        <v>0</v>
      </c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v>0</v>
      </c>
      <c r="I20" s="73">
        <f t="shared" si="0"/>
        <v>0</v>
      </c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3"/>
      <c r="I21" s="73"/>
    </row>
    <row r="22" spans="1:9" x14ac:dyDescent="0.55000000000000004">
      <c r="A22" s="148"/>
      <c r="B22" s="147"/>
      <c r="C22" s="147"/>
      <c r="D22" s="72"/>
      <c r="E22" s="72"/>
      <c r="F22" s="73"/>
      <c r="G22" s="73"/>
      <c r="H22" s="73"/>
      <c r="I22" s="73"/>
    </row>
    <row r="23" spans="1:9" x14ac:dyDescent="0.55000000000000004">
      <c r="A23" s="149"/>
      <c r="B23" s="152"/>
      <c r="C23" s="152"/>
      <c r="D23" s="150"/>
      <c r="E23" s="150"/>
      <c r="F23" s="153"/>
      <c r="G23" s="153"/>
      <c r="H23" s="153"/>
      <c r="I23" s="153"/>
    </row>
    <row r="24" spans="1:9" ht="24.75" thickBot="1" x14ac:dyDescent="0.6">
      <c r="A24" s="124"/>
      <c r="B24" s="123" t="s">
        <v>9</v>
      </c>
      <c r="C24" s="123"/>
      <c r="D24" s="74">
        <f t="shared" ref="D24:I24" si="1">SUM(D7:D23)</f>
        <v>10341960</v>
      </c>
      <c r="E24" s="75">
        <f t="shared" si="1"/>
        <v>1195890.8999999999</v>
      </c>
      <c r="F24" s="74">
        <f t="shared" si="1"/>
        <v>3256826.4</v>
      </c>
      <c r="G24" s="74">
        <f t="shared" si="1"/>
        <v>0</v>
      </c>
      <c r="H24" s="74">
        <f t="shared" si="1"/>
        <v>4086389.76</v>
      </c>
      <c r="I24" s="76">
        <f t="shared" si="1"/>
        <v>8539107.0600000005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8"/>
      <c r="H25" s="78"/>
      <c r="I25" s="79"/>
    </row>
    <row r="26" spans="1:9" x14ac:dyDescent="0.55000000000000004">
      <c r="A26" s="77"/>
      <c r="B26" s="36"/>
      <c r="C26" s="36"/>
      <c r="D26" s="78"/>
      <c r="E26" s="78"/>
      <c r="F26" s="78"/>
      <c r="G26" s="78"/>
      <c r="H26" s="78"/>
      <c r="I26" s="79"/>
    </row>
    <row r="27" spans="1:9" x14ac:dyDescent="0.55000000000000004">
      <c r="A27" s="77"/>
      <c r="B27" s="36"/>
      <c r="C27" s="36"/>
      <c r="D27" s="78"/>
      <c r="E27" s="78"/>
      <c r="F27" s="78"/>
      <c r="G27" s="78"/>
      <c r="H27" s="78"/>
      <c r="I27" s="79"/>
    </row>
    <row r="28" spans="1:9" x14ac:dyDescent="0.55000000000000004">
      <c r="A28" s="77"/>
      <c r="B28" s="36"/>
      <c r="C28" s="36"/>
      <c r="D28" s="78"/>
      <c r="E28" s="78"/>
      <c r="F28" s="78"/>
      <c r="G28" s="78"/>
      <c r="H28" s="78"/>
      <c r="I28" s="79"/>
    </row>
    <row r="29" spans="1:9" x14ac:dyDescent="0.55000000000000004">
      <c r="A29" s="77"/>
      <c r="B29" s="36"/>
      <c r="C29" s="36"/>
      <c r="D29" s="78"/>
      <c r="E29" s="78"/>
      <c r="F29" s="78"/>
      <c r="G29" s="78"/>
      <c r="H29" s="78"/>
      <c r="I29" s="79"/>
    </row>
    <row r="30" spans="1:9" x14ac:dyDescent="0.55000000000000004">
      <c r="A30" s="77"/>
      <c r="B30" s="36"/>
      <c r="C30" s="36"/>
      <c r="D30" s="78"/>
      <c r="E30" s="78"/>
      <c r="F30" s="78"/>
      <c r="G30" s="78"/>
      <c r="H30" s="78"/>
      <c r="I30" s="79"/>
    </row>
    <row r="31" spans="1:9" x14ac:dyDescent="0.55000000000000004">
      <c r="A31" s="77"/>
      <c r="B31" s="36"/>
      <c r="C31" s="36"/>
      <c r="D31" s="78"/>
      <c r="E31" s="78"/>
      <c r="F31" s="78"/>
      <c r="G31" s="78"/>
      <c r="H31" s="78"/>
      <c r="I31" s="79"/>
    </row>
    <row r="32" spans="1:9" x14ac:dyDescent="0.55000000000000004">
      <c r="A32" s="77"/>
      <c r="B32" s="36"/>
      <c r="C32" s="36"/>
      <c r="D32" s="78"/>
      <c r="E32" s="78"/>
      <c r="F32" s="78"/>
      <c r="G32" s="78"/>
      <c r="H32" s="78"/>
      <c r="I32" s="79"/>
    </row>
    <row r="33" spans="1:9" x14ac:dyDescent="0.55000000000000004">
      <c r="A33" s="77"/>
      <c r="B33" s="36"/>
      <c r="C33" s="36"/>
      <c r="D33" s="78"/>
      <c r="E33" s="78"/>
      <c r="F33" s="78"/>
      <c r="G33" s="78"/>
      <c r="H33" s="78"/>
      <c r="I33" s="79"/>
    </row>
    <row r="34" spans="1:9" x14ac:dyDescent="0.55000000000000004">
      <c r="A34" s="77"/>
      <c r="B34" s="36"/>
      <c r="C34" s="36"/>
      <c r="D34" s="78"/>
      <c r="E34" s="78"/>
      <c r="F34" s="78"/>
      <c r="G34" s="78"/>
      <c r="H34" s="78"/>
      <c r="I34" s="79"/>
    </row>
    <row r="35" spans="1:9" x14ac:dyDescent="0.55000000000000004">
      <c r="A35" s="77"/>
      <c r="B35" s="36"/>
      <c r="C35" s="36"/>
      <c r="D35" s="78"/>
      <c r="E35" s="78"/>
      <c r="F35" s="78"/>
      <c r="G35" s="78"/>
      <c r="H35" s="78"/>
      <c r="I35" s="79"/>
    </row>
    <row r="36" spans="1:9" x14ac:dyDescent="0.55000000000000004">
      <c r="A36" s="77"/>
      <c r="B36" s="36"/>
      <c r="C36" s="36"/>
      <c r="D36" s="78"/>
      <c r="E36" s="78"/>
      <c r="F36" s="78"/>
      <c r="G36" s="78"/>
      <c r="H36" s="78"/>
      <c r="I36" s="79"/>
    </row>
    <row r="37" spans="1:9" x14ac:dyDescent="0.55000000000000004">
      <c r="A37" s="77"/>
      <c r="B37" s="36"/>
      <c r="C37" s="36"/>
      <c r="D37" s="78"/>
      <c r="E37" s="78"/>
      <c r="F37" s="78"/>
      <c r="G37" s="78"/>
      <c r="H37" s="78"/>
      <c r="I37" s="79"/>
    </row>
    <row r="38" spans="1:9" x14ac:dyDescent="0.55000000000000004">
      <c r="A38" s="77"/>
      <c r="B38" s="36"/>
      <c r="C38" s="36"/>
      <c r="D38" s="78"/>
      <c r="E38" s="78"/>
      <c r="F38" s="78"/>
      <c r="G38" s="78"/>
      <c r="H38" s="78"/>
      <c r="I38" s="79"/>
    </row>
    <row r="39" spans="1:9" x14ac:dyDescent="0.55000000000000004">
      <c r="A39" s="77"/>
      <c r="B39" s="36"/>
      <c r="C39" s="36"/>
      <c r="D39" s="78"/>
      <c r="E39" s="78"/>
      <c r="F39" s="78"/>
      <c r="G39" s="78"/>
      <c r="H39" s="78"/>
      <c r="I39" s="79"/>
    </row>
    <row r="40" spans="1:9" x14ac:dyDescent="0.55000000000000004">
      <c r="A40" s="77"/>
      <c r="B40" s="36"/>
      <c r="C40" s="36"/>
      <c r="D40" s="78"/>
      <c r="E40" s="78"/>
      <c r="F40" s="78"/>
      <c r="G40" s="78"/>
      <c r="H40" s="78"/>
      <c r="I40" s="79"/>
    </row>
    <row r="41" spans="1:9" x14ac:dyDescent="0.55000000000000004">
      <c r="A41" s="77"/>
      <c r="B41" s="36"/>
      <c r="C41" s="36"/>
      <c r="D41" s="78"/>
      <c r="E41" s="78"/>
      <c r="F41" s="78"/>
      <c r="G41" s="78"/>
      <c r="H41" s="78"/>
      <c r="I41" s="79"/>
    </row>
    <row r="42" spans="1:9" x14ac:dyDescent="0.55000000000000004">
      <c r="A42" s="77"/>
      <c r="B42" s="36"/>
      <c r="C42" s="36"/>
      <c r="D42" s="78"/>
      <c r="E42" s="78"/>
      <c r="F42" s="78"/>
      <c r="G42" s="78"/>
      <c r="H42" s="78"/>
      <c r="I42" s="79"/>
    </row>
    <row r="43" spans="1:9" x14ac:dyDescent="0.55000000000000004">
      <c r="A43" s="77"/>
      <c r="B43" s="36"/>
      <c r="C43" s="36"/>
      <c r="D43" s="78"/>
      <c r="E43" s="78"/>
      <c r="F43" s="78"/>
      <c r="G43" s="78"/>
      <c r="H43" s="78"/>
      <c r="I43" s="79"/>
    </row>
    <row r="44" spans="1:9" x14ac:dyDescent="0.55000000000000004">
      <c r="A44" s="77"/>
      <c r="B44" s="36"/>
      <c r="C44" s="36"/>
      <c r="D44" s="78"/>
      <c r="E44" s="78"/>
      <c r="F44" s="78"/>
      <c r="G44" s="78"/>
      <c r="H44" s="78"/>
      <c r="I44" s="79"/>
    </row>
    <row r="45" spans="1:9" x14ac:dyDescent="0.55000000000000004">
      <c r="A45" s="77"/>
      <c r="B45" s="36"/>
      <c r="C45" s="36"/>
      <c r="D45" s="78"/>
      <c r="E45" s="78"/>
      <c r="F45" s="78"/>
      <c r="G45" s="78"/>
      <c r="H45" s="78"/>
      <c r="I45" s="79"/>
    </row>
    <row r="46" spans="1:9" x14ac:dyDescent="0.55000000000000004">
      <c r="A46" s="77"/>
      <c r="B46" s="36"/>
      <c r="C46" s="36"/>
      <c r="D46" s="78"/>
      <c r="E46" s="78"/>
      <c r="F46" s="78"/>
      <c r="G46" s="78"/>
      <c r="H46" s="78"/>
      <c r="I46" s="79"/>
    </row>
    <row r="47" spans="1:9" x14ac:dyDescent="0.55000000000000004">
      <c r="A47" s="77"/>
      <c r="B47" s="36"/>
      <c r="C47" s="36"/>
      <c r="D47" s="78"/>
      <c r="E47" s="78"/>
      <c r="F47" s="78"/>
      <c r="G47" s="78"/>
      <c r="H47" s="78"/>
      <c r="I47" s="79"/>
    </row>
  </sheetData>
  <mergeCells count="12">
    <mergeCell ref="F4:F5"/>
    <mergeCell ref="A1:I1"/>
    <mergeCell ref="A2:I2"/>
    <mergeCell ref="A3:I3"/>
    <mergeCell ref="H4:H5"/>
    <mergeCell ref="I4:I5"/>
    <mergeCell ref="G4:G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horizontalDpi="12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U47"/>
  <sheetViews>
    <sheetView topLeftCell="B1" workbookViewId="0">
      <selection activeCell="I12" sqref="I12"/>
    </sheetView>
  </sheetViews>
  <sheetFormatPr defaultColWidth="13" defaultRowHeight="24" x14ac:dyDescent="0.55000000000000004"/>
  <cols>
    <col min="1" max="1" width="16.28515625" style="17" customWidth="1"/>
    <col min="2" max="2" width="20.140625" style="17" bestFit="1" customWidth="1"/>
    <col min="3" max="3" width="31.140625" style="17" customWidth="1"/>
    <col min="4" max="7" width="21.7109375" style="17" customWidth="1"/>
    <col min="8" max="8" width="23.7109375" style="17" customWidth="1"/>
    <col min="9" max="9" width="21.7109375" style="17" customWidth="1"/>
    <col min="10" max="10" width="15.7109375" style="17" customWidth="1"/>
    <col min="11" max="11" width="13" style="17" customWidth="1"/>
    <col min="12" max="12" width="13.28515625" style="17" customWidth="1"/>
    <col min="13" max="13" width="12" style="17" customWidth="1"/>
    <col min="14" max="15" width="14.28515625" style="17" customWidth="1"/>
    <col min="16" max="16" width="15.85546875" style="17" customWidth="1"/>
    <col min="17" max="17" width="13" style="17" customWidth="1"/>
    <col min="18" max="18" width="15.28515625" style="17" customWidth="1"/>
    <col min="19" max="19" width="13.7109375" style="17" customWidth="1"/>
    <col min="20" max="20" width="12.42578125" style="17" customWidth="1"/>
    <col min="21" max="21" width="11.85546875" style="17" customWidth="1"/>
    <col min="22" max="22" width="14.28515625" style="17" customWidth="1"/>
    <col min="23" max="16384" width="13" style="17"/>
  </cols>
  <sheetData>
    <row r="1" spans="1:21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55000000000000004">
      <c r="A2" s="259" t="s">
        <v>270</v>
      </c>
      <c r="B2" s="259"/>
      <c r="C2" s="259"/>
      <c r="D2" s="259"/>
      <c r="E2" s="259"/>
      <c r="F2" s="259"/>
      <c r="G2" s="259"/>
      <c r="H2" s="259"/>
      <c r="I2" s="25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123</v>
      </c>
      <c r="F4" s="286" t="s">
        <v>271</v>
      </c>
      <c r="G4" s="286" t="s">
        <v>272</v>
      </c>
      <c r="H4" s="286" t="s">
        <v>273</v>
      </c>
      <c r="I4" s="286" t="s">
        <v>9</v>
      </c>
    </row>
    <row r="5" spans="1:21" x14ac:dyDescent="0.55000000000000004">
      <c r="A5" s="287"/>
      <c r="B5" s="285"/>
      <c r="C5" s="287"/>
      <c r="D5" s="287"/>
      <c r="E5" s="287"/>
      <c r="F5" s="287"/>
      <c r="G5" s="287"/>
      <c r="H5" s="287"/>
      <c r="I5" s="287"/>
    </row>
    <row r="6" spans="1:21" x14ac:dyDescent="0.55000000000000004">
      <c r="A6" s="110"/>
      <c r="B6" s="110"/>
      <c r="C6" s="110"/>
      <c r="D6" s="110"/>
      <c r="E6" s="110"/>
      <c r="F6" s="110"/>
      <c r="G6" s="110"/>
      <c r="H6" s="110"/>
      <c r="I6" s="110"/>
    </row>
    <row r="7" spans="1:21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v>0</v>
      </c>
      <c r="H7" s="73">
        <v>0</v>
      </c>
      <c r="I7" s="73">
        <f>SUM(E7:H7)</f>
        <v>0</v>
      </c>
      <c r="J7" s="67"/>
    </row>
    <row r="8" spans="1:21" x14ac:dyDescent="0.55000000000000004">
      <c r="A8" s="147"/>
      <c r="B8" s="147" t="s">
        <v>145</v>
      </c>
      <c r="C8" s="147" t="s">
        <v>234</v>
      </c>
      <c r="D8" s="72">
        <f>830000+45000</f>
        <v>875000</v>
      </c>
      <c r="E8" s="73">
        <v>719672</v>
      </c>
      <c r="F8" s="73">
        <v>0</v>
      </c>
      <c r="G8" s="73">
        <v>0</v>
      </c>
      <c r="H8" s="73">
        <v>0</v>
      </c>
      <c r="I8" s="73">
        <f t="shared" ref="I8:I20" si="0">SUM(E8:H8)</f>
        <v>719672</v>
      </c>
    </row>
    <row r="9" spans="1:21" x14ac:dyDescent="0.55000000000000004">
      <c r="A9" s="147" t="s">
        <v>258</v>
      </c>
      <c r="B9" s="10" t="s">
        <v>25</v>
      </c>
      <c r="C9" s="147" t="s">
        <v>234</v>
      </c>
      <c r="D9" s="72">
        <v>47600</v>
      </c>
      <c r="E9" s="72">
        <v>45850</v>
      </c>
      <c r="F9" s="72">
        <v>0</v>
      </c>
      <c r="G9" s="72">
        <v>0</v>
      </c>
      <c r="H9" s="72">
        <v>0</v>
      </c>
      <c r="I9" s="73">
        <f t="shared" si="0"/>
        <v>45850</v>
      </c>
    </row>
    <row r="10" spans="1:21" x14ac:dyDescent="0.55000000000000004">
      <c r="A10" s="147" t="s">
        <v>20</v>
      </c>
      <c r="B10" s="151" t="s">
        <v>26</v>
      </c>
      <c r="C10" s="147" t="s">
        <v>234</v>
      </c>
      <c r="D10" s="146">
        <f>170000-100000+830000+10000-380000</f>
        <v>530000</v>
      </c>
      <c r="E10" s="146">
        <v>24000</v>
      </c>
      <c r="F10" s="146">
        <v>0</v>
      </c>
      <c r="G10" s="146">
        <v>299773</v>
      </c>
      <c r="H10" s="146">
        <v>0</v>
      </c>
      <c r="I10" s="73">
        <f t="shared" si="0"/>
        <v>323773</v>
      </c>
    </row>
    <row r="11" spans="1:21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146"/>
      <c r="H11" s="146"/>
      <c r="I11" s="73">
        <f t="shared" si="0"/>
        <v>0</v>
      </c>
    </row>
    <row r="12" spans="1:21" x14ac:dyDescent="0.55000000000000004">
      <c r="A12" s="147"/>
      <c r="B12" s="147" t="s">
        <v>27</v>
      </c>
      <c r="C12" s="147" t="s">
        <v>234</v>
      </c>
      <c r="D12" s="146">
        <f>40000+20000</f>
        <v>60000</v>
      </c>
      <c r="E12" s="146">
        <v>45090</v>
      </c>
      <c r="F12" s="146">
        <v>0</v>
      </c>
      <c r="G12" s="146">
        <v>0</v>
      </c>
      <c r="H12" s="146">
        <v>0</v>
      </c>
      <c r="I12" s="73">
        <f t="shared" si="0"/>
        <v>45090</v>
      </c>
      <c r="J12" s="67"/>
    </row>
    <row r="13" spans="1:21" x14ac:dyDescent="0.55000000000000004">
      <c r="A13" s="147"/>
      <c r="B13" s="147" t="s">
        <v>28</v>
      </c>
      <c r="C13" s="147" t="s">
        <v>234</v>
      </c>
      <c r="D13" s="146">
        <v>6000</v>
      </c>
      <c r="E13" s="146">
        <v>1476.53</v>
      </c>
      <c r="F13" s="146">
        <v>0</v>
      </c>
      <c r="G13" s="146">
        <v>0</v>
      </c>
      <c r="H13" s="146">
        <v>0</v>
      </c>
      <c r="I13" s="73">
        <f t="shared" si="0"/>
        <v>1476.53</v>
      </c>
    </row>
    <row r="14" spans="1:21" x14ac:dyDescent="0.55000000000000004">
      <c r="A14" s="147" t="s">
        <v>259</v>
      </c>
      <c r="B14" s="147" t="s">
        <v>349</v>
      </c>
      <c r="C14" s="147" t="s">
        <v>234</v>
      </c>
      <c r="D14" s="72">
        <v>92000</v>
      </c>
      <c r="E14" s="146">
        <v>0</v>
      </c>
      <c r="F14" s="72">
        <v>0</v>
      </c>
      <c r="G14" s="72">
        <v>76790</v>
      </c>
      <c r="H14" s="72">
        <v>0</v>
      </c>
      <c r="I14" s="73">
        <f t="shared" si="0"/>
        <v>76790</v>
      </c>
    </row>
    <row r="15" spans="1:21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v>0</v>
      </c>
      <c r="H15" s="73">
        <v>0</v>
      </c>
      <c r="I15" s="73">
        <f t="shared" si="0"/>
        <v>0</v>
      </c>
    </row>
    <row r="16" spans="1:21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v>0</v>
      </c>
      <c r="H16" s="73">
        <v>0</v>
      </c>
      <c r="I16" s="73">
        <f t="shared" si="0"/>
        <v>0</v>
      </c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v>0</v>
      </c>
      <c r="H17" s="73">
        <v>0</v>
      </c>
      <c r="I17" s="73">
        <f t="shared" si="0"/>
        <v>0</v>
      </c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v>52500</v>
      </c>
      <c r="E18" s="146">
        <v>0</v>
      </c>
      <c r="F18" s="73">
        <v>0</v>
      </c>
      <c r="G18" s="73">
        <v>52500</v>
      </c>
      <c r="H18" s="73">
        <v>0</v>
      </c>
      <c r="I18" s="73">
        <f t="shared" si="0"/>
        <v>52500</v>
      </c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69">
        <v>0</v>
      </c>
      <c r="H19" s="69">
        <v>0</v>
      </c>
      <c r="I19" s="73">
        <f t="shared" si="0"/>
        <v>0</v>
      </c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v>0</v>
      </c>
      <c r="I20" s="73">
        <f t="shared" si="0"/>
        <v>0</v>
      </c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3"/>
      <c r="I21" s="73"/>
    </row>
    <row r="22" spans="1:9" x14ac:dyDescent="0.55000000000000004">
      <c r="A22" s="148"/>
      <c r="B22" s="147"/>
      <c r="C22" s="147"/>
      <c r="D22" s="72"/>
      <c r="E22" s="72"/>
      <c r="F22" s="73"/>
      <c r="G22" s="73"/>
      <c r="H22" s="73"/>
      <c r="I22" s="73"/>
    </row>
    <row r="23" spans="1:9" x14ac:dyDescent="0.55000000000000004">
      <c r="A23" s="149"/>
      <c r="B23" s="152"/>
      <c r="C23" s="152"/>
      <c r="D23" s="150"/>
      <c r="E23" s="150"/>
      <c r="F23" s="153"/>
      <c r="G23" s="153"/>
      <c r="H23" s="153"/>
      <c r="I23" s="153"/>
    </row>
    <row r="24" spans="1:9" ht="24.75" thickBot="1" x14ac:dyDescent="0.6">
      <c r="A24" s="124"/>
      <c r="B24" s="123" t="s">
        <v>9</v>
      </c>
      <c r="C24" s="123"/>
      <c r="D24" s="74">
        <f t="shared" ref="D24:I24" si="1">SUM(D7:D23)</f>
        <v>1663100</v>
      </c>
      <c r="E24" s="75">
        <f t="shared" si="1"/>
        <v>836088.53</v>
      </c>
      <c r="F24" s="74">
        <f t="shared" si="1"/>
        <v>0</v>
      </c>
      <c r="G24" s="74">
        <f t="shared" si="1"/>
        <v>429063</v>
      </c>
      <c r="H24" s="74">
        <f t="shared" si="1"/>
        <v>0</v>
      </c>
      <c r="I24" s="76">
        <f t="shared" si="1"/>
        <v>1265151.53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8"/>
      <c r="H25" s="78"/>
      <c r="I25" s="79"/>
    </row>
    <row r="26" spans="1:9" x14ac:dyDescent="0.55000000000000004">
      <c r="A26" s="77"/>
      <c r="B26" s="36"/>
      <c r="C26" s="36"/>
      <c r="D26" s="78"/>
      <c r="E26" s="78"/>
      <c r="F26" s="78"/>
      <c r="G26" s="78"/>
      <c r="H26" s="78"/>
      <c r="I26" s="79"/>
    </row>
    <row r="27" spans="1:9" x14ac:dyDescent="0.55000000000000004">
      <c r="A27" s="77"/>
      <c r="B27" s="36"/>
      <c r="C27" s="36"/>
      <c r="D27" s="78"/>
      <c r="E27" s="78"/>
      <c r="F27" s="78"/>
      <c r="G27" s="78"/>
      <c r="H27" s="78"/>
      <c r="I27" s="79"/>
    </row>
    <row r="28" spans="1:9" x14ac:dyDescent="0.55000000000000004">
      <c r="A28" s="77"/>
      <c r="B28" s="36"/>
      <c r="C28" s="36"/>
      <c r="D28" s="78"/>
      <c r="E28" s="78"/>
      <c r="F28" s="78"/>
      <c r="G28" s="78"/>
      <c r="H28" s="78"/>
      <c r="I28" s="79"/>
    </row>
    <row r="29" spans="1:9" x14ac:dyDescent="0.55000000000000004">
      <c r="A29" s="77"/>
      <c r="B29" s="36"/>
      <c r="C29" s="36"/>
      <c r="D29" s="78"/>
      <c r="E29" s="78"/>
      <c r="F29" s="78"/>
      <c r="G29" s="78"/>
      <c r="H29" s="78"/>
      <c r="I29" s="79"/>
    </row>
    <row r="30" spans="1:9" x14ac:dyDescent="0.55000000000000004">
      <c r="A30" s="77"/>
      <c r="B30" s="36"/>
      <c r="C30" s="36"/>
      <c r="D30" s="78"/>
      <c r="E30" s="78"/>
      <c r="F30" s="78"/>
      <c r="G30" s="78"/>
      <c r="H30" s="78"/>
      <c r="I30" s="79"/>
    </row>
    <row r="31" spans="1:9" x14ac:dyDescent="0.55000000000000004">
      <c r="A31" s="77"/>
      <c r="B31" s="36"/>
      <c r="C31" s="36"/>
      <c r="D31" s="78"/>
      <c r="E31" s="78"/>
      <c r="F31" s="78"/>
      <c r="G31" s="78"/>
      <c r="H31" s="78"/>
      <c r="I31" s="79"/>
    </row>
    <row r="32" spans="1:9" x14ac:dyDescent="0.55000000000000004">
      <c r="A32" s="77"/>
      <c r="B32" s="36"/>
      <c r="C32" s="36"/>
      <c r="D32" s="78"/>
      <c r="E32" s="78"/>
      <c r="F32" s="78"/>
      <c r="G32" s="78"/>
      <c r="H32" s="78"/>
      <c r="I32" s="79"/>
    </row>
    <row r="33" spans="1:9" x14ac:dyDescent="0.55000000000000004">
      <c r="A33" s="77"/>
      <c r="B33" s="36"/>
      <c r="C33" s="36"/>
      <c r="D33" s="78"/>
      <c r="E33" s="78"/>
      <c r="F33" s="78"/>
      <c r="G33" s="78"/>
      <c r="H33" s="78"/>
      <c r="I33" s="79"/>
    </row>
    <row r="34" spans="1:9" x14ac:dyDescent="0.55000000000000004">
      <c r="A34" s="77"/>
      <c r="B34" s="36"/>
      <c r="C34" s="36"/>
      <c r="D34" s="78"/>
      <c r="E34" s="78"/>
      <c r="F34" s="78"/>
      <c r="G34" s="78"/>
      <c r="H34" s="78"/>
      <c r="I34" s="79"/>
    </row>
    <row r="35" spans="1:9" x14ac:dyDescent="0.55000000000000004">
      <c r="A35" s="77"/>
      <c r="B35" s="36"/>
      <c r="C35" s="36"/>
      <c r="D35" s="78"/>
      <c r="E35" s="78"/>
      <c r="F35" s="78"/>
      <c r="G35" s="78"/>
      <c r="H35" s="78"/>
      <c r="I35" s="79"/>
    </row>
    <row r="36" spans="1:9" x14ac:dyDescent="0.55000000000000004">
      <c r="A36" s="77"/>
      <c r="B36" s="36"/>
      <c r="C36" s="36"/>
      <c r="D36" s="78"/>
      <c r="E36" s="78"/>
      <c r="F36" s="78"/>
      <c r="G36" s="78"/>
      <c r="H36" s="78"/>
      <c r="I36" s="79"/>
    </row>
    <row r="37" spans="1:9" x14ac:dyDescent="0.55000000000000004">
      <c r="A37" s="77"/>
      <c r="B37" s="36"/>
      <c r="C37" s="36"/>
      <c r="D37" s="78"/>
      <c r="E37" s="78"/>
      <c r="F37" s="78"/>
      <c r="G37" s="78"/>
      <c r="H37" s="78"/>
      <c r="I37" s="79"/>
    </row>
    <row r="38" spans="1:9" x14ac:dyDescent="0.55000000000000004">
      <c r="A38" s="77"/>
      <c r="B38" s="36"/>
      <c r="C38" s="36"/>
      <c r="D38" s="78"/>
      <c r="E38" s="78"/>
      <c r="F38" s="78"/>
      <c r="G38" s="78"/>
      <c r="H38" s="78"/>
      <c r="I38" s="79"/>
    </row>
    <row r="39" spans="1:9" x14ac:dyDescent="0.55000000000000004">
      <c r="A39" s="77"/>
      <c r="B39" s="36"/>
      <c r="C39" s="36"/>
      <c r="D39" s="78"/>
      <c r="E39" s="78"/>
      <c r="F39" s="78"/>
      <c r="G39" s="78"/>
      <c r="H39" s="78"/>
      <c r="I39" s="79"/>
    </row>
    <row r="40" spans="1:9" x14ac:dyDescent="0.55000000000000004">
      <c r="A40" s="77"/>
      <c r="B40" s="36"/>
      <c r="C40" s="36"/>
      <c r="D40" s="78"/>
      <c r="E40" s="78"/>
      <c r="F40" s="78"/>
      <c r="G40" s="78"/>
      <c r="H40" s="78"/>
      <c r="I40" s="79"/>
    </row>
    <row r="41" spans="1:9" x14ac:dyDescent="0.55000000000000004">
      <c r="A41" s="77"/>
      <c r="B41" s="36"/>
      <c r="C41" s="36"/>
      <c r="D41" s="78"/>
      <c r="E41" s="78"/>
      <c r="F41" s="78"/>
      <c r="G41" s="78"/>
      <c r="H41" s="78"/>
      <c r="I41" s="79"/>
    </row>
    <row r="42" spans="1:9" x14ac:dyDescent="0.55000000000000004">
      <c r="A42" s="77"/>
      <c r="B42" s="36"/>
      <c r="C42" s="36"/>
      <c r="D42" s="78"/>
      <c r="E42" s="78"/>
      <c r="F42" s="78"/>
      <c r="G42" s="78"/>
      <c r="H42" s="78"/>
      <c r="I42" s="79"/>
    </row>
    <row r="43" spans="1:9" x14ac:dyDescent="0.55000000000000004">
      <c r="A43" s="77"/>
      <c r="B43" s="36"/>
      <c r="C43" s="36"/>
      <c r="D43" s="78"/>
      <c r="E43" s="78"/>
      <c r="F43" s="78"/>
      <c r="G43" s="78"/>
      <c r="H43" s="78"/>
      <c r="I43" s="79"/>
    </row>
    <row r="44" spans="1:9" x14ac:dyDescent="0.55000000000000004">
      <c r="A44" s="77"/>
      <c r="B44" s="36"/>
      <c r="C44" s="36"/>
      <c r="D44" s="78"/>
      <c r="E44" s="78"/>
      <c r="F44" s="78"/>
      <c r="G44" s="78"/>
      <c r="H44" s="78"/>
      <c r="I44" s="79"/>
    </row>
    <row r="45" spans="1:9" x14ac:dyDescent="0.55000000000000004">
      <c r="A45" s="77"/>
      <c r="B45" s="36"/>
      <c r="C45" s="36"/>
      <c r="D45" s="78"/>
      <c r="E45" s="78"/>
      <c r="F45" s="78"/>
      <c r="G45" s="78"/>
      <c r="H45" s="78"/>
      <c r="I45" s="79"/>
    </row>
    <row r="46" spans="1:9" x14ac:dyDescent="0.55000000000000004">
      <c r="A46" s="77"/>
      <c r="B46" s="36"/>
      <c r="C46" s="36"/>
      <c r="D46" s="78"/>
      <c r="E46" s="78"/>
      <c r="F46" s="78"/>
      <c r="G46" s="78"/>
      <c r="H46" s="78"/>
      <c r="I46" s="79"/>
    </row>
    <row r="47" spans="1:9" x14ac:dyDescent="0.55000000000000004">
      <c r="A47" s="77"/>
      <c r="B47" s="36"/>
      <c r="C47" s="36"/>
      <c r="D47" s="78"/>
      <c r="E47" s="78"/>
      <c r="F47" s="78"/>
      <c r="G47" s="78"/>
      <c r="H47" s="78"/>
      <c r="I47" s="79"/>
    </row>
  </sheetData>
  <mergeCells count="12">
    <mergeCell ref="F4:F5"/>
    <mergeCell ref="A1:I1"/>
    <mergeCell ref="A2:I2"/>
    <mergeCell ref="A3:I3"/>
    <mergeCell ref="G4:G5"/>
    <mergeCell ref="H4:H5"/>
    <mergeCell ref="I4:I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S47"/>
  <sheetViews>
    <sheetView workbookViewId="0">
      <selection activeCell="F12" sqref="F12"/>
    </sheetView>
  </sheetViews>
  <sheetFormatPr defaultColWidth="13" defaultRowHeight="24" x14ac:dyDescent="0.55000000000000004"/>
  <cols>
    <col min="1" max="1" width="16.28515625" style="17" customWidth="1"/>
    <col min="2" max="2" width="20.140625" style="17" bestFit="1" customWidth="1"/>
    <col min="3" max="3" width="31.140625" style="17" customWidth="1"/>
    <col min="4" max="7" width="21.7109375" style="17" customWidth="1"/>
    <col min="8" max="8" width="23.28515625" style="17" customWidth="1"/>
    <col min="9" max="9" width="13" style="17" customWidth="1"/>
    <col min="10" max="10" width="13.28515625" style="17" customWidth="1"/>
    <col min="11" max="11" width="12" style="17" customWidth="1"/>
    <col min="12" max="13" width="14.28515625" style="17" customWidth="1"/>
    <col min="14" max="14" width="15.85546875" style="17" customWidth="1"/>
    <col min="15" max="15" width="13" style="17" customWidth="1"/>
    <col min="16" max="16" width="15.28515625" style="17" customWidth="1"/>
    <col min="17" max="17" width="13.7109375" style="17" customWidth="1"/>
    <col min="18" max="18" width="12.42578125" style="17" customWidth="1"/>
    <col min="19" max="19" width="11.85546875" style="17" customWidth="1"/>
    <col min="20" max="20" width="14.28515625" style="17" customWidth="1"/>
    <col min="21" max="16384" width="13" style="17"/>
  </cols>
  <sheetData>
    <row r="1" spans="1:19" x14ac:dyDescent="0.55000000000000004">
      <c r="A1" s="259" t="s">
        <v>30</v>
      </c>
      <c r="B1" s="259"/>
      <c r="C1" s="259"/>
      <c r="D1" s="259"/>
      <c r="E1" s="259"/>
      <c r="F1" s="259"/>
      <c r="G1" s="25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55000000000000004">
      <c r="A2" s="259" t="s">
        <v>275</v>
      </c>
      <c r="B2" s="259"/>
      <c r="C2" s="259"/>
      <c r="D2" s="259"/>
      <c r="E2" s="259"/>
      <c r="F2" s="259"/>
      <c r="G2" s="25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274</v>
      </c>
      <c r="F4" s="286" t="s">
        <v>276</v>
      </c>
      <c r="G4" s="286" t="s">
        <v>9</v>
      </c>
    </row>
    <row r="5" spans="1:19" x14ac:dyDescent="0.55000000000000004">
      <c r="A5" s="287"/>
      <c r="B5" s="285"/>
      <c r="C5" s="287"/>
      <c r="D5" s="287"/>
      <c r="E5" s="287"/>
      <c r="F5" s="287"/>
      <c r="G5" s="287"/>
    </row>
    <row r="6" spans="1:19" x14ac:dyDescent="0.55000000000000004">
      <c r="A6" s="110"/>
      <c r="B6" s="110"/>
      <c r="C6" s="110"/>
      <c r="D6" s="110"/>
      <c r="E6" s="110"/>
      <c r="F6" s="110"/>
      <c r="G6" s="110"/>
    </row>
    <row r="7" spans="1:19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f>SUM(E7:F7)</f>
        <v>0</v>
      </c>
      <c r="H7" s="67"/>
    </row>
    <row r="8" spans="1:19" x14ac:dyDescent="0.55000000000000004">
      <c r="A8" s="147"/>
      <c r="B8" s="147" t="s">
        <v>145</v>
      </c>
      <c r="C8" s="147" t="s">
        <v>234</v>
      </c>
      <c r="D8" s="72">
        <f>1021000+138000-15000</f>
        <v>1144000</v>
      </c>
      <c r="E8" s="73">
        <v>936440</v>
      </c>
      <c r="F8" s="73">
        <v>0</v>
      </c>
      <c r="G8" s="73">
        <f t="shared" ref="G8:G14" si="0">SUM(E8:F8)</f>
        <v>936440</v>
      </c>
    </row>
    <row r="9" spans="1:19" x14ac:dyDescent="0.55000000000000004">
      <c r="A9" s="147" t="s">
        <v>258</v>
      </c>
      <c r="B9" s="10" t="s">
        <v>25</v>
      </c>
      <c r="C9" s="147" t="s">
        <v>234</v>
      </c>
      <c r="D9" s="72">
        <f>98000-5000</f>
        <v>93000</v>
      </c>
      <c r="E9" s="72">
        <v>72000</v>
      </c>
      <c r="F9" s="72">
        <v>0</v>
      </c>
      <c r="G9" s="73">
        <f t="shared" si="0"/>
        <v>72000</v>
      </c>
    </row>
    <row r="10" spans="1:19" x14ac:dyDescent="0.55000000000000004">
      <c r="A10" s="147" t="s">
        <v>20</v>
      </c>
      <c r="B10" s="151" t="s">
        <v>26</v>
      </c>
      <c r="C10" s="147" t="s">
        <v>234</v>
      </c>
      <c r="D10" s="146">
        <f>60000+10000</f>
        <v>70000</v>
      </c>
      <c r="E10" s="146">
        <v>31380</v>
      </c>
      <c r="F10" s="146">
        <v>0</v>
      </c>
      <c r="G10" s="73">
        <f t="shared" si="0"/>
        <v>31380</v>
      </c>
    </row>
    <row r="11" spans="1:19" x14ac:dyDescent="0.55000000000000004">
      <c r="A11" s="147"/>
      <c r="B11" s="151" t="s">
        <v>26</v>
      </c>
      <c r="C11" s="147" t="s">
        <v>292</v>
      </c>
      <c r="D11" s="146"/>
      <c r="E11" s="146">
        <v>20000</v>
      </c>
      <c r="F11" s="146">
        <v>20000</v>
      </c>
      <c r="G11" s="73">
        <f t="shared" si="0"/>
        <v>40000</v>
      </c>
    </row>
    <row r="12" spans="1:19" x14ac:dyDescent="0.55000000000000004">
      <c r="A12" s="147"/>
      <c r="B12" s="147" t="s">
        <v>27</v>
      </c>
      <c r="C12" s="147" t="s">
        <v>234</v>
      </c>
      <c r="D12" s="146">
        <f>106000-21000</f>
        <v>85000</v>
      </c>
      <c r="E12" s="146">
        <v>66924</v>
      </c>
      <c r="F12" s="146">
        <v>0</v>
      </c>
      <c r="G12" s="73">
        <f t="shared" si="0"/>
        <v>66924</v>
      </c>
      <c r="H12" s="67"/>
    </row>
    <row r="13" spans="1:19" x14ac:dyDescent="0.55000000000000004">
      <c r="A13" s="147"/>
      <c r="B13" s="147" t="s">
        <v>28</v>
      </c>
      <c r="C13" s="147" t="s">
        <v>234</v>
      </c>
      <c r="D13" s="146">
        <v>1500</v>
      </c>
      <c r="E13" s="146">
        <v>838</v>
      </c>
      <c r="F13" s="146">
        <v>0</v>
      </c>
      <c r="G13" s="73">
        <f t="shared" si="0"/>
        <v>838</v>
      </c>
    </row>
    <row r="14" spans="1:19" x14ac:dyDescent="0.55000000000000004">
      <c r="A14" s="147" t="s">
        <v>259</v>
      </c>
      <c r="B14" s="147" t="s">
        <v>349</v>
      </c>
      <c r="C14" s="147" t="s">
        <v>234</v>
      </c>
      <c r="D14" s="72">
        <v>77000</v>
      </c>
      <c r="E14" s="146">
        <v>37900</v>
      </c>
      <c r="F14" s="72">
        <v>0</v>
      </c>
      <c r="G14" s="73">
        <f t="shared" si="0"/>
        <v>37900</v>
      </c>
      <c r="H14" s="70"/>
      <c r="I14" s="13"/>
      <c r="J14" s="13"/>
    </row>
    <row r="15" spans="1:19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f t="shared" ref="G15:G20" si="1">SUM(E15:F15)</f>
        <v>0</v>
      </c>
      <c r="H15" s="70"/>
      <c r="I15" s="13"/>
      <c r="J15" s="13"/>
    </row>
    <row r="16" spans="1:19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f t="shared" si="1"/>
        <v>0</v>
      </c>
      <c r="H16" s="158"/>
      <c r="I16" s="13"/>
      <c r="J16" s="13"/>
    </row>
    <row r="17" spans="1:10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f t="shared" si="1"/>
        <v>0</v>
      </c>
      <c r="H17" s="70"/>
      <c r="I17" s="13"/>
      <c r="J17" s="13"/>
    </row>
    <row r="18" spans="1:10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146">
        <v>0</v>
      </c>
      <c r="F18" s="73">
        <v>0</v>
      </c>
      <c r="G18" s="73">
        <f t="shared" si="1"/>
        <v>0</v>
      </c>
      <c r="H18" s="70"/>
      <c r="I18" s="13"/>
      <c r="J18" s="13"/>
    </row>
    <row r="19" spans="1:10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73">
        <f t="shared" si="1"/>
        <v>0</v>
      </c>
      <c r="H19" s="70"/>
      <c r="I19" s="13"/>
      <c r="J19" s="13"/>
    </row>
    <row r="20" spans="1:10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f t="shared" si="1"/>
        <v>0</v>
      </c>
      <c r="H20" s="158"/>
      <c r="I20" s="13"/>
      <c r="J20" s="13"/>
    </row>
    <row r="21" spans="1:10" x14ac:dyDescent="0.55000000000000004">
      <c r="A21" s="148"/>
      <c r="B21" s="147"/>
      <c r="C21" s="147"/>
      <c r="D21" s="72"/>
      <c r="E21" s="72"/>
      <c r="F21" s="73"/>
      <c r="G21" s="73"/>
      <c r="H21" s="70"/>
      <c r="I21" s="13"/>
      <c r="J21" s="13"/>
    </row>
    <row r="22" spans="1:10" x14ac:dyDescent="0.55000000000000004">
      <c r="A22" s="148"/>
      <c r="B22" s="147"/>
      <c r="C22" s="147"/>
      <c r="D22" s="72"/>
      <c r="E22" s="72"/>
      <c r="F22" s="73"/>
      <c r="G22" s="73"/>
    </row>
    <row r="23" spans="1:10" x14ac:dyDescent="0.55000000000000004">
      <c r="A23" s="149"/>
      <c r="B23" s="152"/>
      <c r="C23" s="152"/>
      <c r="D23" s="150"/>
      <c r="E23" s="150"/>
      <c r="F23" s="153"/>
      <c r="G23" s="153"/>
    </row>
    <row r="24" spans="1:10" ht="24.75" thickBot="1" x14ac:dyDescent="0.6">
      <c r="A24" s="124"/>
      <c r="B24" s="123" t="s">
        <v>9</v>
      </c>
      <c r="C24" s="123"/>
      <c r="D24" s="74">
        <f>SUM(D7:D23)</f>
        <v>1470500</v>
      </c>
      <c r="E24" s="75">
        <f>SUM(E7:E23)</f>
        <v>1165482</v>
      </c>
      <c r="F24" s="74">
        <f>SUM(F7:F23)</f>
        <v>20000</v>
      </c>
      <c r="G24" s="76">
        <f>SUM(G7:G23)</f>
        <v>1185482</v>
      </c>
    </row>
    <row r="25" spans="1:10" ht="24.75" thickTop="1" x14ac:dyDescent="0.55000000000000004">
      <c r="A25" s="77"/>
      <c r="B25" s="36"/>
      <c r="C25" s="36"/>
      <c r="D25" s="78"/>
      <c r="E25" s="78"/>
      <c r="F25" s="78"/>
      <c r="G25" s="79"/>
    </row>
    <row r="26" spans="1:10" x14ac:dyDescent="0.55000000000000004">
      <c r="A26" s="77"/>
      <c r="B26" s="36"/>
      <c r="C26" s="36"/>
      <c r="D26" s="78"/>
      <c r="E26" s="78"/>
      <c r="F26" s="78"/>
      <c r="G26" s="79"/>
    </row>
    <row r="27" spans="1:10" x14ac:dyDescent="0.55000000000000004">
      <c r="A27" s="77"/>
      <c r="B27" s="36"/>
      <c r="C27" s="36"/>
      <c r="D27" s="78"/>
      <c r="E27" s="78"/>
      <c r="F27" s="78"/>
      <c r="G27" s="79"/>
    </row>
    <row r="28" spans="1:10" x14ac:dyDescent="0.55000000000000004">
      <c r="A28" s="77"/>
      <c r="B28" s="36"/>
      <c r="C28" s="36"/>
      <c r="D28" s="78"/>
      <c r="E28" s="78"/>
      <c r="F28" s="78"/>
      <c r="G28" s="79"/>
    </row>
    <row r="29" spans="1:10" x14ac:dyDescent="0.55000000000000004">
      <c r="A29" s="77"/>
      <c r="B29" s="36"/>
      <c r="C29" s="36"/>
      <c r="D29" s="78"/>
      <c r="E29" s="78"/>
      <c r="F29" s="78"/>
      <c r="G29" s="79"/>
    </row>
    <row r="30" spans="1:10" x14ac:dyDescent="0.55000000000000004">
      <c r="A30" s="77"/>
      <c r="B30" s="36"/>
      <c r="C30" s="36"/>
      <c r="D30" s="78"/>
      <c r="E30" s="78"/>
      <c r="F30" s="78"/>
      <c r="G30" s="79"/>
    </row>
    <row r="31" spans="1:10" x14ac:dyDescent="0.55000000000000004">
      <c r="A31" s="77"/>
      <c r="B31" s="36"/>
      <c r="C31" s="36"/>
      <c r="D31" s="78"/>
      <c r="E31" s="78"/>
      <c r="F31" s="78"/>
      <c r="G31" s="79"/>
    </row>
    <row r="32" spans="1:10" x14ac:dyDescent="0.55000000000000004">
      <c r="A32" s="77"/>
      <c r="B32" s="36"/>
      <c r="C32" s="36"/>
      <c r="D32" s="78"/>
      <c r="E32" s="78"/>
      <c r="F32" s="78"/>
      <c r="G32" s="79"/>
    </row>
    <row r="33" spans="1:7" x14ac:dyDescent="0.55000000000000004">
      <c r="A33" s="77"/>
      <c r="B33" s="36"/>
      <c r="C33" s="36"/>
      <c r="D33" s="78"/>
      <c r="E33" s="78"/>
      <c r="F33" s="78"/>
      <c r="G33" s="79"/>
    </row>
    <row r="34" spans="1:7" x14ac:dyDescent="0.55000000000000004">
      <c r="A34" s="77"/>
      <c r="B34" s="36"/>
      <c r="C34" s="36"/>
      <c r="D34" s="78"/>
      <c r="E34" s="78"/>
      <c r="F34" s="78"/>
      <c r="G34" s="79"/>
    </row>
    <row r="35" spans="1:7" x14ac:dyDescent="0.55000000000000004">
      <c r="A35" s="77"/>
      <c r="B35" s="36"/>
      <c r="C35" s="36"/>
      <c r="D35" s="78"/>
      <c r="E35" s="78"/>
      <c r="F35" s="78"/>
      <c r="G35" s="79"/>
    </row>
    <row r="36" spans="1:7" x14ac:dyDescent="0.55000000000000004">
      <c r="A36" s="77"/>
      <c r="B36" s="36"/>
      <c r="C36" s="36"/>
      <c r="D36" s="78"/>
      <c r="E36" s="78"/>
      <c r="F36" s="78"/>
      <c r="G36" s="79"/>
    </row>
    <row r="37" spans="1:7" x14ac:dyDescent="0.55000000000000004">
      <c r="A37" s="77"/>
      <c r="B37" s="36"/>
      <c r="C37" s="36"/>
      <c r="D37" s="78"/>
      <c r="E37" s="78"/>
      <c r="F37" s="78"/>
      <c r="G37" s="79"/>
    </row>
    <row r="38" spans="1:7" x14ac:dyDescent="0.55000000000000004">
      <c r="A38" s="77"/>
      <c r="B38" s="36"/>
      <c r="C38" s="36"/>
      <c r="D38" s="78"/>
      <c r="E38" s="78"/>
      <c r="F38" s="78"/>
      <c r="G38" s="79"/>
    </row>
    <row r="39" spans="1:7" x14ac:dyDescent="0.55000000000000004">
      <c r="A39" s="77"/>
      <c r="B39" s="36"/>
      <c r="C39" s="36"/>
      <c r="D39" s="78"/>
      <c r="E39" s="78"/>
      <c r="F39" s="78"/>
      <c r="G39" s="79"/>
    </row>
    <row r="40" spans="1:7" x14ac:dyDescent="0.55000000000000004">
      <c r="A40" s="77"/>
      <c r="B40" s="36"/>
      <c r="C40" s="36"/>
      <c r="D40" s="78"/>
      <c r="E40" s="78"/>
      <c r="F40" s="78"/>
      <c r="G40" s="79"/>
    </row>
    <row r="41" spans="1:7" x14ac:dyDescent="0.55000000000000004">
      <c r="A41" s="77"/>
      <c r="B41" s="36"/>
      <c r="C41" s="36"/>
      <c r="D41" s="78"/>
      <c r="E41" s="78"/>
      <c r="F41" s="78"/>
      <c r="G41" s="79"/>
    </row>
    <row r="42" spans="1:7" x14ac:dyDescent="0.55000000000000004">
      <c r="A42" s="77"/>
      <c r="B42" s="36"/>
      <c r="C42" s="36"/>
      <c r="D42" s="78"/>
      <c r="E42" s="78"/>
      <c r="F42" s="78"/>
      <c r="G42" s="79"/>
    </row>
    <row r="43" spans="1:7" x14ac:dyDescent="0.55000000000000004">
      <c r="A43" s="77"/>
      <c r="B43" s="36"/>
      <c r="C43" s="36"/>
      <c r="D43" s="78"/>
      <c r="E43" s="78"/>
      <c r="F43" s="78"/>
      <c r="G43" s="79"/>
    </row>
    <row r="44" spans="1:7" x14ac:dyDescent="0.55000000000000004">
      <c r="A44" s="77"/>
      <c r="B44" s="36"/>
      <c r="C44" s="36"/>
      <c r="D44" s="78"/>
      <c r="E44" s="78"/>
      <c r="F44" s="78"/>
      <c r="G44" s="79"/>
    </row>
    <row r="45" spans="1:7" x14ac:dyDescent="0.55000000000000004">
      <c r="A45" s="77"/>
      <c r="B45" s="36"/>
      <c r="C45" s="36"/>
      <c r="D45" s="78"/>
      <c r="E45" s="78"/>
      <c r="F45" s="78"/>
      <c r="G45" s="79"/>
    </row>
    <row r="46" spans="1:7" x14ac:dyDescent="0.55000000000000004">
      <c r="A46" s="77"/>
      <c r="B46" s="36"/>
      <c r="C46" s="36"/>
      <c r="D46" s="78"/>
      <c r="E46" s="78"/>
      <c r="F46" s="78"/>
      <c r="G46" s="79"/>
    </row>
    <row r="47" spans="1:7" x14ac:dyDescent="0.55000000000000004">
      <c r="A47" s="77"/>
      <c r="B47" s="36"/>
      <c r="C47" s="36"/>
      <c r="D47" s="78"/>
      <c r="E47" s="78"/>
      <c r="F47" s="78"/>
      <c r="G47" s="79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honeticPr fontId="8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0" orientation="landscape" horizontalDpi="12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V47"/>
  <sheetViews>
    <sheetView zoomScale="9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A2" sqref="A2:J2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10" width="21.7109375" style="17" customWidth="1"/>
    <col min="11" max="11" width="15.7109375" style="17" customWidth="1"/>
    <col min="12" max="12" width="13" style="17" customWidth="1"/>
    <col min="13" max="13" width="13.28515625" style="17" customWidth="1"/>
    <col min="14" max="14" width="12" style="17" customWidth="1"/>
    <col min="15" max="16" width="14.28515625" style="17" customWidth="1"/>
    <col min="17" max="17" width="15.85546875" style="17" customWidth="1"/>
    <col min="18" max="18" width="13" style="17" customWidth="1"/>
    <col min="19" max="19" width="15.28515625" style="17" customWidth="1"/>
    <col min="20" max="20" width="13.7109375" style="17" customWidth="1"/>
    <col min="21" max="21" width="12.42578125" style="17" customWidth="1"/>
    <col min="22" max="22" width="11.85546875" style="17" customWidth="1"/>
    <col min="23" max="23" width="14.28515625" style="17" customWidth="1"/>
    <col min="24" max="16384" width="13" style="17"/>
  </cols>
  <sheetData>
    <row r="1" spans="1:22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55000000000000004">
      <c r="A2" s="259" t="s">
        <v>775</v>
      </c>
      <c r="B2" s="259"/>
      <c r="C2" s="259"/>
      <c r="D2" s="259"/>
      <c r="E2" s="259"/>
      <c r="F2" s="259"/>
      <c r="G2" s="259"/>
      <c r="H2" s="259"/>
      <c r="I2" s="259"/>
      <c r="J2" s="25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151</v>
      </c>
      <c r="F4" s="286" t="s">
        <v>57</v>
      </c>
      <c r="G4" s="286" t="s">
        <v>58</v>
      </c>
      <c r="H4" s="286" t="s">
        <v>90</v>
      </c>
      <c r="I4" s="286" t="s">
        <v>150</v>
      </c>
      <c r="J4" s="286" t="s">
        <v>9</v>
      </c>
    </row>
    <row r="5" spans="1:22" x14ac:dyDescent="0.55000000000000004">
      <c r="A5" s="287"/>
      <c r="B5" s="285"/>
      <c r="C5" s="287"/>
      <c r="D5" s="287"/>
      <c r="E5" s="287"/>
      <c r="F5" s="287"/>
      <c r="G5" s="287"/>
      <c r="H5" s="287"/>
      <c r="I5" s="287"/>
      <c r="J5" s="287"/>
    </row>
    <row r="6" spans="1:22" x14ac:dyDescent="0.55000000000000004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22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f>SUM(E7:I7)</f>
        <v>0</v>
      </c>
      <c r="K7" s="67"/>
    </row>
    <row r="8" spans="1:22" x14ac:dyDescent="0.55000000000000004">
      <c r="A8" s="147"/>
      <c r="B8" s="147" t="s">
        <v>145</v>
      </c>
      <c r="C8" s="147" t="s">
        <v>234</v>
      </c>
      <c r="D8" s="72">
        <f>1249000-279000+353000-30000+2273000+198000-328000</f>
        <v>3436000</v>
      </c>
      <c r="E8" s="73">
        <v>813085.77</v>
      </c>
      <c r="F8" s="73">
        <v>275075</v>
      </c>
      <c r="G8" s="73">
        <v>0</v>
      </c>
      <c r="H8" s="73">
        <v>1653113</v>
      </c>
      <c r="I8" s="73">
        <v>0</v>
      </c>
      <c r="J8" s="73">
        <f t="shared" ref="J8:J15" si="0">SUM(E8:I8)</f>
        <v>2741273.77</v>
      </c>
    </row>
    <row r="9" spans="1:22" x14ac:dyDescent="0.55000000000000004">
      <c r="A9" s="147" t="s">
        <v>258</v>
      </c>
      <c r="B9" s="10" t="s">
        <v>25</v>
      </c>
      <c r="C9" s="147" t="s">
        <v>234</v>
      </c>
      <c r="D9" s="72">
        <f>20000+10000+232000+20000</f>
        <v>282000</v>
      </c>
      <c r="E9" s="72">
        <v>8359</v>
      </c>
      <c r="F9" s="72">
        <v>1900</v>
      </c>
      <c r="G9" s="72">
        <v>0</v>
      </c>
      <c r="H9" s="72">
        <v>226220</v>
      </c>
      <c r="I9" s="72">
        <v>0</v>
      </c>
      <c r="J9" s="73">
        <f t="shared" si="0"/>
        <v>236479</v>
      </c>
    </row>
    <row r="10" spans="1:22" x14ac:dyDescent="0.55000000000000004">
      <c r="A10" s="147" t="s">
        <v>20</v>
      </c>
      <c r="B10" s="151" t="s">
        <v>26</v>
      </c>
      <c r="C10" s="147" t="s">
        <v>234</v>
      </c>
      <c r="D10" s="146">
        <f>90000+313000-200000+360000+315000-255000+1460000+364000</f>
        <v>2447000</v>
      </c>
      <c r="E10" s="146">
        <v>153640</v>
      </c>
      <c r="F10" s="146">
        <v>406850.2</v>
      </c>
      <c r="G10" s="146">
        <v>0</v>
      </c>
      <c r="H10" s="146">
        <v>1793120</v>
      </c>
      <c r="I10" s="146">
        <v>0</v>
      </c>
      <c r="J10" s="73">
        <f t="shared" si="0"/>
        <v>2353610.2000000002</v>
      </c>
    </row>
    <row r="11" spans="1:22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146"/>
      <c r="H11" s="146"/>
      <c r="I11" s="146"/>
      <c r="J11" s="73">
        <f t="shared" si="0"/>
        <v>0</v>
      </c>
    </row>
    <row r="12" spans="1:22" x14ac:dyDescent="0.55000000000000004">
      <c r="A12" s="147"/>
      <c r="B12" s="147" t="s">
        <v>27</v>
      </c>
      <c r="C12" s="147" t="s">
        <v>234</v>
      </c>
      <c r="D12" s="146">
        <f>50000-10000+510000+320000+50000+355000</f>
        <v>1275000</v>
      </c>
      <c r="E12" s="146">
        <v>19819</v>
      </c>
      <c r="F12" s="146">
        <v>795615.4</v>
      </c>
      <c r="G12" s="146">
        <v>50000</v>
      </c>
      <c r="H12" s="146">
        <v>335903.62</v>
      </c>
      <c r="I12" s="146">
        <v>0</v>
      </c>
      <c r="J12" s="73">
        <f t="shared" si="0"/>
        <v>1201338.02</v>
      </c>
      <c r="K12" s="67"/>
    </row>
    <row r="13" spans="1:22" x14ac:dyDescent="0.55000000000000004">
      <c r="A13" s="147"/>
      <c r="B13" s="147" t="s">
        <v>28</v>
      </c>
      <c r="C13" s="147" t="s">
        <v>234</v>
      </c>
      <c r="D13" s="146">
        <f>2000+50000</f>
        <v>52000</v>
      </c>
      <c r="E13" s="146">
        <v>327</v>
      </c>
      <c r="F13" s="146">
        <v>34943.1</v>
      </c>
      <c r="G13" s="146">
        <v>0</v>
      </c>
      <c r="H13" s="146">
        <v>0</v>
      </c>
      <c r="I13" s="146">
        <v>0</v>
      </c>
      <c r="J13" s="73">
        <f t="shared" si="0"/>
        <v>35270.1</v>
      </c>
    </row>
    <row r="14" spans="1:22" x14ac:dyDescent="0.55000000000000004">
      <c r="A14" s="147" t="s">
        <v>259</v>
      </c>
      <c r="B14" s="147" t="s">
        <v>349</v>
      </c>
      <c r="C14" s="147" t="s">
        <v>234</v>
      </c>
      <c r="D14" s="72">
        <f>5500+329000</f>
        <v>334500</v>
      </c>
      <c r="E14" s="146">
        <v>5400</v>
      </c>
      <c r="F14" s="72">
        <v>329000</v>
      </c>
      <c r="G14" s="72">
        <v>0</v>
      </c>
      <c r="H14" s="72">
        <v>0</v>
      </c>
      <c r="I14" s="72">
        <v>0</v>
      </c>
      <c r="J14" s="73">
        <f t="shared" si="0"/>
        <v>334400</v>
      </c>
    </row>
    <row r="15" spans="1:22" x14ac:dyDescent="0.55000000000000004">
      <c r="A15" s="147"/>
      <c r="B15" s="147" t="s">
        <v>52</v>
      </c>
      <c r="C15" s="147" t="s">
        <v>234</v>
      </c>
      <c r="D15" s="72">
        <f>1431000-6000+2944000-648000</f>
        <v>3721000</v>
      </c>
      <c r="E15" s="146">
        <v>425000</v>
      </c>
      <c r="F15" s="73">
        <v>2092270</v>
      </c>
      <c r="G15" s="73">
        <v>0</v>
      </c>
      <c r="H15" s="73">
        <v>0</v>
      </c>
      <c r="I15" s="73">
        <v>0</v>
      </c>
      <c r="J15" s="73">
        <f t="shared" si="0"/>
        <v>2517270</v>
      </c>
    </row>
    <row r="16" spans="1:22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1706000</v>
      </c>
      <c r="G16" s="73">
        <v>0</v>
      </c>
      <c r="H16" s="73">
        <v>0</v>
      </c>
      <c r="I16" s="73">
        <v>0</v>
      </c>
      <c r="J16" s="73">
        <f>SUM(E16:I16)</f>
        <v>1706000</v>
      </c>
    </row>
    <row r="17" spans="1:10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v>0</v>
      </c>
      <c r="H17" s="73">
        <v>0</v>
      </c>
      <c r="I17" s="73">
        <v>0</v>
      </c>
      <c r="J17" s="73">
        <f>SUM(E17:I17)</f>
        <v>0</v>
      </c>
    </row>
    <row r="18" spans="1:10" x14ac:dyDescent="0.55000000000000004">
      <c r="A18" s="147" t="s">
        <v>261</v>
      </c>
      <c r="B18" s="10" t="s">
        <v>29</v>
      </c>
      <c r="C18" s="147" t="s">
        <v>234</v>
      </c>
      <c r="D18" s="73">
        <f>600000-110000</f>
        <v>490000</v>
      </c>
      <c r="E18" s="146">
        <v>0</v>
      </c>
      <c r="F18" s="73">
        <v>482131.77</v>
      </c>
      <c r="G18" s="73">
        <v>0</v>
      </c>
      <c r="H18" s="73">
        <v>0</v>
      </c>
      <c r="I18" s="73">
        <v>0</v>
      </c>
      <c r="J18" s="73">
        <f>SUM(E18:I18)</f>
        <v>482131.77</v>
      </c>
    </row>
    <row r="19" spans="1:10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69">
        <v>0</v>
      </c>
      <c r="H19" s="69">
        <v>0</v>
      </c>
      <c r="I19" s="73">
        <v>0</v>
      </c>
      <c r="J19" s="73">
        <f>SUM(E19:I19)</f>
        <v>0</v>
      </c>
    </row>
    <row r="20" spans="1:10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v>0</v>
      </c>
      <c r="I20" s="73">
        <v>0</v>
      </c>
      <c r="J20" s="73">
        <f>SUM(E20:I20)</f>
        <v>0</v>
      </c>
    </row>
    <row r="21" spans="1:10" x14ac:dyDescent="0.55000000000000004">
      <c r="A21" s="148"/>
      <c r="B21" s="147"/>
      <c r="C21" s="147"/>
      <c r="D21" s="72"/>
      <c r="E21" s="72"/>
      <c r="F21" s="73"/>
      <c r="G21" s="73"/>
      <c r="H21" s="73"/>
      <c r="I21" s="73"/>
      <c r="J21" s="73"/>
    </row>
    <row r="22" spans="1:10" x14ac:dyDescent="0.55000000000000004">
      <c r="A22" s="148"/>
      <c r="B22" s="147"/>
      <c r="C22" s="147"/>
      <c r="D22" s="72"/>
      <c r="E22" s="72"/>
      <c r="F22" s="73"/>
      <c r="G22" s="73"/>
      <c r="H22" s="73"/>
      <c r="I22" s="73"/>
      <c r="J22" s="73"/>
    </row>
    <row r="23" spans="1:10" x14ac:dyDescent="0.55000000000000004">
      <c r="A23" s="149"/>
      <c r="B23" s="152"/>
      <c r="C23" s="152"/>
      <c r="D23" s="150"/>
      <c r="E23" s="150"/>
      <c r="F23" s="153"/>
      <c r="G23" s="153"/>
      <c r="H23" s="153"/>
      <c r="I23" s="153"/>
      <c r="J23" s="153"/>
    </row>
    <row r="24" spans="1:10" ht="24.75" thickBot="1" x14ac:dyDescent="0.6">
      <c r="A24" s="124"/>
      <c r="B24" s="123" t="s">
        <v>9</v>
      </c>
      <c r="C24" s="123"/>
      <c r="D24" s="74">
        <f t="shared" ref="D24:J24" si="1">SUM(D7:D23)</f>
        <v>12037500</v>
      </c>
      <c r="E24" s="75">
        <f t="shared" si="1"/>
        <v>1425630.77</v>
      </c>
      <c r="F24" s="74">
        <f t="shared" si="1"/>
        <v>6123785.4700000007</v>
      </c>
      <c r="G24" s="74">
        <f t="shared" si="1"/>
        <v>50000</v>
      </c>
      <c r="H24" s="74">
        <f t="shared" si="1"/>
        <v>4008356.62</v>
      </c>
      <c r="I24" s="74">
        <f t="shared" si="1"/>
        <v>0</v>
      </c>
      <c r="J24" s="76">
        <f t="shared" si="1"/>
        <v>11607772.859999999</v>
      </c>
    </row>
    <row r="25" spans="1:10" ht="24.75" thickTop="1" x14ac:dyDescent="0.55000000000000004">
      <c r="A25" s="77"/>
      <c r="B25" s="36"/>
      <c r="C25" s="36"/>
      <c r="D25" s="78"/>
      <c r="E25" s="78"/>
      <c r="F25" s="78"/>
      <c r="G25" s="78"/>
      <c r="H25" s="78"/>
      <c r="I25" s="78"/>
      <c r="J25" s="79"/>
    </row>
    <row r="26" spans="1:10" x14ac:dyDescent="0.55000000000000004">
      <c r="A26" s="77"/>
      <c r="B26" s="36"/>
      <c r="C26" s="36"/>
      <c r="D26" s="78"/>
      <c r="E26" s="78"/>
      <c r="F26" s="78"/>
      <c r="G26" s="78"/>
      <c r="H26" s="78"/>
      <c r="I26" s="78"/>
      <c r="J26" s="79"/>
    </row>
    <row r="27" spans="1:10" x14ac:dyDescent="0.55000000000000004">
      <c r="A27" s="77"/>
      <c r="B27" s="36"/>
      <c r="C27" s="36"/>
      <c r="D27" s="78"/>
      <c r="E27" s="78"/>
      <c r="F27" s="78"/>
      <c r="G27" s="78"/>
      <c r="H27" s="78"/>
      <c r="I27" s="78"/>
      <c r="J27" s="79"/>
    </row>
    <row r="28" spans="1:10" x14ac:dyDescent="0.55000000000000004">
      <c r="A28" s="77"/>
      <c r="B28" s="36"/>
      <c r="C28" s="36"/>
      <c r="D28" s="78"/>
      <c r="E28" s="78"/>
      <c r="F28" s="78"/>
      <c r="G28" s="78"/>
      <c r="H28" s="78"/>
      <c r="I28" s="78"/>
      <c r="J28" s="79"/>
    </row>
    <row r="29" spans="1:10" x14ac:dyDescent="0.55000000000000004">
      <c r="A29" s="77"/>
      <c r="B29" s="36"/>
      <c r="C29" s="36"/>
      <c r="D29" s="78"/>
      <c r="E29" s="78"/>
      <c r="F29" s="78"/>
      <c r="G29" s="78"/>
      <c r="H29" s="78"/>
      <c r="I29" s="78"/>
      <c r="J29" s="79"/>
    </row>
    <row r="30" spans="1:10" x14ac:dyDescent="0.55000000000000004">
      <c r="A30" s="77"/>
      <c r="B30" s="36"/>
      <c r="C30" s="36"/>
      <c r="D30" s="78"/>
      <c r="E30" s="78"/>
      <c r="F30" s="78"/>
      <c r="G30" s="78"/>
      <c r="H30" s="78"/>
      <c r="I30" s="78"/>
      <c r="J30" s="79"/>
    </row>
    <row r="31" spans="1:10" x14ac:dyDescent="0.55000000000000004">
      <c r="A31" s="77"/>
      <c r="B31" s="36"/>
      <c r="C31" s="36"/>
      <c r="D31" s="78"/>
      <c r="E31" s="78"/>
      <c r="F31" s="78"/>
      <c r="G31" s="78"/>
      <c r="H31" s="78"/>
      <c r="I31" s="78"/>
      <c r="J31" s="79"/>
    </row>
    <row r="32" spans="1:10" x14ac:dyDescent="0.55000000000000004">
      <c r="A32" s="77"/>
      <c r="B32" s="36"/>
      <c r="C32" s="36"/>
      <c r="D32" s="78"/>
      <c r="E32" s="78"/>
      <c r="F32" s="78"/>
      <c r="G32" s="78"/>
      <c r="H32" s="78"/>
      <c r="I32" s="78"/>
      <c r="J32" s="79"/>
    </row>
    <row r="33" spans="1:10" x14ac:dyDescent="0.55000000000000004">
      <c r="A33" s="77"/>
      <c r="B33" s="36"/>
      <c r="C33" s="36"/>
      <c r="D33" s="78"/>
      <c r="E33" s="78"/>
      <c r="F33" s="78"/>
      <c r="G33" s="78"/>
      <c r="H33" s="78"/>
      <c r="I33" s="78"/>
      <c r="J33" s="79"/>
    </row>
    <row r="34" spans="1:10" x14ac:dyDescent="0.55000000000000004">
      <c r="A34" s="77"/>
      <c r="B34" s="36"/>
      <c r="C34" s="36"/>
      <c r="D34" s="78"/>
      <c r="E34" s="78"/>
      <c r="F34" s="78"/>
      <c r="G34" s="78"/>
      <c r="H34" s="78"/>
      <c r="I34" s="78"/>
      <c r="J34" s="79"/>
    </row>
    <row r="35" spans="1:10" x14ac:dyDescent="0.55000000000000004">
      <c r="A35" s="77"/>
      <c r="B35" s="36"/>
      <c r="C35" s="36"/>
      <c r="D35" s="78"/>
      <c r="E35" s="78"/>
      <c r="F35" s="78"/>
      <c r="G35" s="78"/>
      <c r="H35" s="78"/>
      <c r="I35" s="78"/>
      <c r="J35" s="79"/>
    </row>
    <row r="36" spans="1:10" x14ac:dyDescent="0.55000000000000004">
      <c r="A36" s="77"/>
      <c r="B36" s="36"/>
      <c r="C36" s="36"/>
      <c r="D36" s="78"/>
      <c r="E36" s="78"/>
      <c r="F36" s="78"/>
      <c r="G36" s="78"/>
      <c r="H36" s="78"/>
      <c r="I36" s="78"/>
      <c r="J36" s="79"/>
    </row>
    <row r="37" spans="1:10" x14ac:dyDescent="0.55000000000000004">
      <c r="A37" s="77"/>
      <c r="B37" s="36"/>
      <c r="C37" s="36"/>
      <c r="D37" s="78"/>
      <c r="E37" s="78"/>
      <c r="F37" s="78"/>
      <c r="G37" s="78"/>
      <c r="H37" s="78"/>
      <c r="I37" s="78"/>
      <c r="J37" s="79"/>
    </row>
    <row r="38" spans="1:10" x14ac:dyDescent="0.55000000000000004">
      <c r="A38" s="77"/>
      <c r="B38" s="36"/>
      <c r="C38" s="36"/>
      <c r="D38" s="78"/>
      <c r="E38" s="78"/>
      <c r="F38" s="78"/>
      <c r="G38" s="78"/>
      <c r="H38" s="78"/>
      <c r="I38" s="78"/>
      <c r="J38" s="79"/>
    </row>
    <row r="39" spans="1:10" x14ac:dyDescent="0.55000000000000004">
      <c r="A39" s="77"/>
      <c r="B39" s="36"/>
      <c r="C39" s="36"/>
      <c r="D39" s="78"/>
      <c r="E39" s="78"/>
      <c r="F39" s="78"/>
      <c r="G39" s="78"/>
      <c r="H39" s="78"/>
      <c r="I39" s="78"/>
      <c r="J39" s="79"/>
    </row>
    <row r="40" spans="1:10" x14ac:dyDescent="0.55000000000000004">
      <c r="A40" s="77"/>
      <c r="B40" s="36"/>
      <c r="C40" s="36"/>
      <c r="D40" s="78"/>
      <c r="E40" s="78"/>
      <c r="F40" s="78"/>
      <c r="G40" s="78"/>
      <c r="H40" s="78"/>
      <c r="I40" s="78"/>
      <c r="J40" s="79"/>
    </row>
    <row r="41" spans="1:10" x14ac:dyDescent="0.55000000000000004">
      <c r="A41" s="77"/>
      <c r="B41" s="36"/>
      <c r="C41" s="36"/>
      <c r="D41" s="78"/>
      <c r="E41" s="78"/>
      <c r="F41" s="78"/>
      <c r="G41" s="78"/>
      <c r="H41" s="78"/>
      <c r="I41" s="78"/>
      <c r="J41" s="79"/>
    </row>
    <row r="42" spans="1:10" x14ac:dyDescent="0.55000000000000004">
      <c r="A42" s="77"/>
      <c r="B42" s="36"/>
      <c r="C42" s="36"/>
      <c r="D42" s="78"/>
      <c r="E42" s="78"/>
      <c r="F42" s="78"/>
      <c r="G42" s="78"/>
      <c r="H42" s="78"/>
      <c r="I42" s="78"/>
      <c r="J42" s="79"/>
    </row>
    <row r="43" spans="1:10" x14ac:dyDescent="0.55000000000000004">
      <c r="A43" s="77"/>
      <c r="B43" s="36"/>
      <c r="C43" s="36"/>
      <c r="D43" s="78"/>
      <c r="E43" s="78"/>
      <c r="F43" s="78"/>
      <c r="G43" s="78"/>
      <c r="H43" s="78"/>
      <c r="I43" s="78"/>
      <c r="J43" s="79"/>
    </row>
    <row r="44" spans="1:10" x14ac:dyDescent="0.55000000000000004">
      <c r="A44" s="77"/>
      <c r="B44" s="36"/>
      <c r="C44" s="36"/>
      <c r="D44" s="78"/>
      <c r="E44" s="78"/>
      <c r="F44" s="78"/>
      <c r="G44" s="78"/>
      <c r="H44" s="78"/>
      <c r="I44" s="78"/>
      <c r="J44" s="79"/>
    </row>
    <row r="45" spans="1:10" x14ac:dyDescent="0.55000000000000004">
      <c r="A45" s="77"/>
      <c r="B45" s="36"/>
      <c r="C45" s="36"/>
      <c r="D45" s="78"/>
      <c r="E45" s="78"/>
      <c r="F45" s="78"/>
      <c r="G45" s="78"/>
      <c r="H45" s="78"/>
      <c r="I45" s="78"/>
      <c r="J45" s="79"/>
    </row>
    <row r="46" spans="1:10" x14ac:dyDescent="0.55000000000000004">
      <c r="A46" s="77"/>
      <c r="B46" s="36"/>
      <c r="C46" s="36"/>
      <c r="D46" s="78"/>
      <c r="E46" s="78"/>
      <c r="F46" s="78"/>
      <c r="G46" s="78"/>
      <c r="H46" s="78"/>
      <c r="I46" s="78"/>
      <c r="J46" s="79"/>
    </row>
    <row r="47" spans="1:10" x14ac:dyDescent="0.55000000000000004">
      <c r="A47" s="77"/>
      <c r="B47" s="36"/>
      <c r="C47" s="36"/>
      <c r="D47" s="78"/>
      <c r="E47" s="78"/>
      <c r="F47" s="78"/>
      <c r="G47" s="78"/>
      <c r="H47" s="78"/>
      <c r="I47" s="78"/>
      <c r="J47" s="79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F5"/>
    <mergeCell ref="H4:H5"/>
    <mergeCell ref="G4:G5"/>
  </mergeCells>
  <phoneticPr fontId="8" type="noConversion"/>
  <printOptions horizontalCentered="1"/>
  <pageMargins left="7.874015748031496E-2" right="7.874015748031496E-2" top="0.74803149606299213" bottom="0.74803149606299213" header="0.31496062992125984" footer="0.31496062992125984"/>
  <pageSetup paperSize="9" scale="70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1"/>
  <sheetViews>
    <sheetView topLeftCell="A22" zoomScale="90" zoomScaleNormal="90" workbookViewId="0">
      <selection activeCell="D11" sqref="D11"/>
    </sheetView>
  </sheetViews>
  <sheetFormatPr defaultColWidth="19.5703125" defaultRowHeight="24" x14ac:dyDescent="0.55000000000000004"/>
  <cols>
    <col min="1" max="1" width="7" style="16" customWidth="1"/>
    <col min="2" max="2" width="17.42578125" style="16" customWidth="1"/>
    <col min="3" max="3" width="19.5703125" style="16"/>
    <col min="4" max="4" width="22.5703125" style="16" customWidth="1"/>
    <col min="5" max="5" width="19.5703125" style="15"/>
    <col min="6" max="16384" width="19.5703125" style="16"/>
  </cols>
  <sheetData>
    <row r="1" spans="1:7" x14ac:dyDescent="0.55000000000000004">
      <c r="A1" s="259" t="s">
        <v>10</v>
      </c>
      <c r="B1" s="259"/>
      <c r="C1" s="259"/>
      <c r="D1" s="259"/>
      <c r="E1" s="259"/>
      <c r="F1" s="259"/>
      <c r="G1" s="259"/>
    </row>
    <row r="2" spans="1:7" x14ac:dyDescent="0.55000000000000004">
      <c r="A2" s="259" t="s">
        <v>18</v>
      </c>
      <c r="B2" s="259"/>
      <c r="C2" s="259"/>
      <c r="D2" s="259"/>
      <c r="E2" s="259"/>
      <c r="F2" s="259"/>
      <c r="G2" s="259"/>
    </row>
    <row r="3" spans="1:7" x14ac:dyDescent="0.55000000000000004">
      <c r="A3" s="259" t="str">
        <f>งบทดลอง!A3</f>
        <v>ณ  วันที่  30 กันยายน  2559</v>
      </c>
      <c r="B3" s="259"/>
      <c r="C3" s="259"/>
      <c r="D3" s="259"/>
      <c r="E3" s="259"/>
      <c r="F3" s="259"/>
      <c r="G3" s="259"/>
    </row>
    <row r="4" spans="1:7" x14ac:dyDescent="0.55000000000000004">
      <c r="A4" s="175"/>
      <c r="B4" s="175"/>
      <c r="C4" s="175"/>
      <c r="D4" s="175"/>
      <c r="E4" s="15" t="s">
        <v>50</v>
      </c>
      <c r="F4" s="175"/>
      <c r="G4" s="175"/>
    </row>
    <row r="5" spans="1:7" ht="24.75" thickBot="1" x14ac:dyDescent="0.6">
      <c r="A5" s="16" t="s">
        <v>311</v>
      </c>
      <c r="E5" s="15">
        <v>2</v>
      </c>
      <c r="G5" s="83">
        <v>66897982.399999999</v>
      </c>
    </row>
    <row r="6" spans="1:7" ht="24.75" thickTop="1" x14ac:dyDescent="0.55000000000000004">
      <c r="A6" s="16" t="s">
        <v>312</v>
      </c>
      <c r="G6" s="78"/>
    </row>
    <row r="7" spans="1:7" x14ac:dyDescent="0.55000000000000004">
      <c r="B7" s="16" t="s">
        <v>313</v>
      </c>
      <c r="G7" s="78"/>
    </row>
    <row r="8" spans="1:7" x14ac:dyDescent="0.55000000000000004">
      <c r="C8" s="16" t="s">
        <v>314</v>
      </c>
      <c r="E8" s="15">
        <v>3</v>
      </c>
      <c r="G8" s="78">
        <f>SUM(ฝาก!F14)</f>
        <v>14998568.82</v>
      </c>
    </row>
    <row r="9" spans="1:7" x14ac:dyDescent="0.55000000000000004">
      <c r="C9" s="16" t="s">
        <v>19</v>
      </c>
      <c r="G9" s="109">
        <v>7428035.8099999996</v>
      </c>
    </row>
    <row r="10" spans="1:7" x14ac:dyDescent="0.55000000000000004">
      <c r="C10" s="16" t="s">
        <v>206</v>
      </c>
      <c r="G10" s="109">
        <v>35640</v>
      </c>
    </row>
    <row r="11" spans="1:7" x14ac:dyDescent="0.55000000000000004">
      <c r="C11" s="16" t="s">
        <v>315</v>
      </c>
      <c r="E11" s="15">
        <v>5</v>
      </c>
      <c r="G11" s="109">
        <f>22920+5679.62+9880</f>
        <v>38479.619999999995</v>
      </c>
    </row>
    <row r="12" spans="1:7" x14ac:dyDescent="0.55000000000000004">
      <c r="C12" s="16" t="s">
        <v>209</v>
      </c>
      <c r="E12" s="15">
        <v>6</v>
      </c>
      <c r="F12" s="179"/>
      <c r="G12" s="109">
        <v>327455</v>
      </c>
    </row>
    <row r="13" spans="1:7" x14ac:dyDescent="0.55000000000000004">
      <c r="C13" s="16" t="s">
        <v>316</v>
      </c>
      <c r="E13" s="179"/>
      <c r="F13" s="179"/>
      <c r="G13" s="180">
        <f>SUM(G8:G12)</f>
        <v>22828179.25</v>
      </c>
    </row>
    <row r="14" spans="1:7" x14ac:dyDescent="0.55000000000000004">
      <c r="B14" s="16" t="s">
        <v>317</v>
      </c>
      <c r="E14" s="179"/>
      <c r="F14" s="179"/>
    </row>
    <row r="15" spans="1:7" ht="26.25" x14ac:dyDescent="0.7">
      <c r="C15" s="16" t="s">
        <v>141</v>
      </c>
      <c r="E15" s="181"/>
      <c r="F15" s="179"/>
      <c r="G15" s="109">
        <v>18544058.370000001</v>
      </c>
    </row>
    <row r="16" spans="1:7" x14ac:dyDescent="0.55000000000000004">
      <c r="C16" s="16" t="s">
        <v>318</v>
      </c>
      <c r="E16" s="182"/>
      <c r="F16" s="79"/>
      <c r="G16" s="183">
        <f>SUM(G15)</f>
        <v>18544058.370000001</v>
      </c>
    </row>
    <row r="17" spans="1:7" ht="24.75" thickBot="1" x14ac:dyDescent="0.6">
      <c r="A17" s="16" t="s">
        <v>319</v>
      </c>
      <c r="G17" s="84">
        <f>SUM(G13+G16)</f>
        <v>41372237.620000005</v>
      </c>
    </row>
    <row r="18" spans="1:7" ht="24.75" thickTop="1" x14ac:dyDescent="0.55000000000000004">
      <c r="E18" s="15" t="s">
        <v>50</v>
      </c>
    </row>
    <row r="19" spans="1:7" ht="24.75" thickBot="1" x14ac:dyDescent="0.6">
      <c r="A19" s="16" t="s">
        <v>344</v>
      </c>
      <c r="E19" s="15">
        <v>2</v>
      </c>
      <c r="G19" s="83">
        <v>66897982.399999999</v>
      </c>
    </row>
    <row r="20" spans="1:7" ht="24.75" thickTop="1" x14ac:dyDescent="0.55000000000000004">
      <c r="A20" s="16" t="s">
        <v>320</v>
      </c>
      <c r="G20" s="78"/>
    </row>
    <row r="21" spans="1:7" x14ac:dyDescent="0.55000000000000004">
      <c r="B21" s="16" t="s">
        <v>321</v>
      </c>
      <c r="G21" s="78"/>
    </row>
    <row r="22" spans="1:7" x14ac:dyDescent="0.55000000000000004">
      <c r="C22" s="16" t="s">
        <v>345</v>
      </c>
      <c r="E22" s="15">
        <v>10</v>
      </c>
      <c r="G22" s="109">
        <v>750200</v>
      </c>
    </row>
    <row r="23" spans="1:7" x14ac:dyDescent="0.55000000000000004">
      <c r="C23" s="16" t="s">
        <v>354</v>
      </c>
      <c r="G23" s="109">
        <v>35640</v>
      </c>
    </row>
    <row r="24" spans="1:7" x14ac:dyDescent="0.55000000000000004">
      <c r="C24" s="16" t="s">
        <v>346</v>
      </c>
      <c r="E24" s="15">
        <v>12</v>
      </c>
      <c r="G24" s="109">
        <v>875052.96</v>
      </c>
    </row>
    <row r="25" spans="1:7" x14ac:dyDescent="0.55000000000000004">
      <c r="C25" s="16" t="s">
        <v>323</v>
      </c>
      <c r="G25" s="183">
        <f>SUM(G22:G24)</f>
        <v>1660892.96</v>
      </c>
    </row>
    <row r="26" spans="1:7" x14ac:dyDescent="0.55000000000000004">
      <c r="B26" s="16" t="s">
        <v>322</v>
      </c>
      <c r="G26" s="109"/>
    </row>
    <row r="27" spans="1:7" x14ac:dyDescent="0.55000000000000004">
      <c r="C27" s="16" t="s">
        <v>347</v>
      </c>
      <c r="E27" s="15">
        <v>14</v>
      </c>
      <c r="G27" s="109">
        <v>10123384.119999999</v>
      </c>
    </row>
    <row r="28" spans="1:7" x14ac:dyDescent="0.55000000000000004">
      <c r="C28" s="16" t="s">
        <v>324</v>
      </c>
      <c r="G28" s="183">
        <f>SUM(G27)</f>
        <v>10123384.119999999</v>
      </c>
    </row>
    <row r="29" spans="1:7" x14ac:dyDescent="0.55000000000000004">
      <c r="A29" s="16" t="s">
        <v>120</v>
      </c>
      <c r="G29" s="109"/>
    </row>
    <row r="30" spans="1:7" x14ac:dyDescent="0.55000000000000004">
      <c r="B30" s="16" t="s">
        <v>348</v>
      </c>
      <c r="E30" s="15">
        <v>16</v>
      </c>
      <c r="G30" s="109">
        <v>17020197.84</v>
      </c>
    </row>
    <row r="31" spans="1:7" x14ac:dyDescent="0.55000000000000004">
      <c r="B31" s="16" t="s">
        <v>146</v>
      </c>
      <c r="G31" s="109">
        <v>12567762.699999999</v>
      </c>
    </row>
    <row r="32" spans="1:7" x14ac:dyDescent="0.55000000000000004">
      <c r="B32" s="16" t="s">
        <v>325</v>
      </c>
      <c r="G32" s="183">
        <f>SUM(G30:G31)</f>
        <v>29587960.539999999</v>
      </c>
    </row>
    <row r="33" spans="1:9" ht="24.75" thickBot="1" x14ac:dyDescent="0.6">
      <c r="A33" s="16" t="s">
        <v>326</v>
      </c>
      <c r="G33" s="84">
        <f>SUM(G25+G28+G32)</f>
        <v>41372237.619999997</v>
      </c>
      <c r="H33" s="108"/>
    </row>
    <row r="34" spans="1:9" ht="24.75" thickTop="1" x14ac:dyDescent="0.55000000000000004">
      <c r="E34" s="200"/>
      <c r="G34" s="37"/>
      <c r="H34" s="108"/>
    </row>
    <row r="35" spans="1:9" x14ac:dyDescent="0.55000000000000004">
      <c r="A35" s="16" t="s">
        <v>327</v>
      </c>
    </row>
    <row r="38" spans="1:9" x14ac:dyDescent="0.55000000000000004">
      <c r="A38" s="259" t="s">
        <v>147</v>
      </c>
      <c r="B38" s="259"/>
      <c r="C38" s="259"/>
      <c r="D38" s="259" t="s">
        <v>148</v>
      </c>
      <c r="E38" s="259"/>
      <c r="F38" s="259" t="s">
        <v>147</v>
      </c>
      <c r="G38" s="259"/>
    </row>
    <row r="39" spans="1:9" x14ac:dyDescent="0.55000000000000004">
      <c r="A39" s="259" t="s">
        <v>192</v>
      </c>
      <c r="B39" s="259"/>
      <c r="C39" s="259"/>
      <c r="D39" s="259" t="s">
        <v>213</v>
      </c>
      <c r="E39" s="259"/>
      <c r="F39" s="259" t="s">
        <v>193</v>
      </c>
      <c r="G39" s="259"/>
    </row>
    <row r="40" spans="1:9" x14ac:dyDescent="0.55000000000000004">
      <c r="A40" s="259" t="s">
        <v>171</v>
      </c>
      <c r="B40" s="259"/>
      <c r="C40" s="259"/>
      <c r="D40" s="259" t="s">
        <v>126</v>
      </c>
      <c r="E40" s="259"/>
      <c r="F40" s="259" t="s">
        <v>127</v>
      </c>
      <c r="G40" s="259"/>
      <c r="H40" s="15"/>
      <c r="I40" s="15"/>
    </row>
    <row r="41" spans="1:9" x14ac:dyDescent="0.55000000000000004">
      <c r="A41" s="259"/>
      <c r="B41" s="259"/>
      <c r="C41" s="259"/>
      <c r="D41" s="259"/>
      <c r="E41" s="259"/>
      <c r="F41" s="15"/>
      <c r="H41" s="15"/>
      <c r="I41" s="15"/>
    </row>
  </sheetData>
  <mergeCells count="14">
    <mergeCell ref="A41:C41"/>
    <mergeCell ref="D38:E38"/>
    <mergeCell ref="D39:E39"/>
    <mergeCell ref="D40:E40"/>
    <mergeCell ref="D41:E41"/>
    <mergeCell ref="A39:C39"/>
    <mergeCell ref="F39:G39"/>
    <mergeCell ref="F40:G40"/>
    <mergeCell ref="A1:G1"/>
    <mergeCell ref="A2:G2"/>
    <mergeCell ref="A3:G3"/>
    <mergeCell ref="F38:G38"/>
    <mergeCell ref="A38:C38"/>
    <mergeCell ref="A40:C40"/>
  </mergeCells>
  <phoneticPr fontId="8" type="noConversion"/>
  <printOptions horizontalCentered="1"/>
  <pageMargins left="0.15748031496062992" right="0.15748031496062992" top="0.78740157480314965" bottom="0.78740157480314965" header="0.51181102362204722" footer="0.51181102362204722"/>
  <pageSetup paperSize="9" scale="80" orientation="portrait" horizontalDpi="180" verticalDpi="18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S47"/>
  <sheetViews>
    <sheetView zoomScale="90" zoomScaleNormal="90" workbookViewId="0">
      <selection activeCell="F12" sqref="F12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4" width="21.7109375" style="17" customWidth="1"/>
    <col min="5" max="5" width="28.42578125" style="17" customWidth="1"/>
    <col min="6" max="6" width="25.5703125" style="17" customWidth="1"/>
    <col min="7" max="7" width="21.7109375" style="17" customWidth="1"/>
    <col min="8" max="8" width="15.7109375" style="17" customWidth="1"/>
    <col min="9" max="9" width="13" style="17" customWidth="1"/>
    <col min="10" max="10" width="13.28515625" style="17" customWidth="1"/>
    <col min="11" max="11" width="12" style="17" customWidth="1"/>
    <col min="12" max="13" width="14.28515625" style="17" customWidth="1"/>
    <col min="14" max="14" width="15.85546875" style="17" customWidth="1"/>
    <col min="15" max="15" width="13" style="17" customWidth="1"/>
    <col min="16" max="16" width="15.28515625" style="17" customWidth="1"/>
    <col min="17" max="17" width="13.7109375" style="17" customWidth="1"/>
    <col min="18" max="18" width="12.42578125" style="17" customWidth="1"/>
    <col min="19" max="19" width="11.85546875" style="17" customWidth="1"/>
    <col min="20" max="20" width="14.28515625" style="17" customWidth="1"/>
    <col min="21" max="16384" width="13" style="17"/>
  </cols>
  <sheetData>
    <row r="1" spans="1:19" x14ac:dyDescent="0.55000000000000004">
      <c r="A1" s="259" t="s">
        <v>30</v>
      </c>
      <c r="B1" s="259"/>
      <c r="C1" s="259"/>
      <c r="D1" s="259"/>
      <c r="E1" s="259"/>
      <c r="F1" s="259"/>
      <c r="G1" s="25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55000000000000004">
      <c r="A2" s="259" t="s">
        <v>351</v>
      </c>
      <c r="B2" s="259"/>
      <c r="C2" s="259"/>
      <c r="D2" s="259"/>
      <c r="E2" s="259"/>
      <c r="F2" s="259"/>
      <c r="G2" s="25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352</v>
      </c>
      <c r="F4" s="286" t="s">
        <v>277</v>
      </c>
      <c r="G4" s="286" t="s">
        <v>9</v>
      </c>
    </row>
    <row r="5" spans="1:19" x14ac:dyDescent="0.55000000000000004">
      <c r="A5" s="287"/>
      <c r="B5" s="285"/>
      <c r="C5" s="287"/>
      <c r="D5" s="287"/>
      <c r="E5" s="287"/>
      <c r="F5" s="287"/>
      <c r="G5" s="287"/>
    </row>
    <row r="6" spans="1:19" x14ac:dyDescent="0.55000000000000004">
      <c r="A6" s="110"/>
      <c r="B6" s="110"/>
      <c r="C6" s="110"/>
      <c r="D6" s="110"/>
      <c r="E6" s="110"/>
      <c r="F6" s="110"/>
      <c r="G6" s="110"/>
    </row>
    <row r="7" spans="1:19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f>SUM(E7:F7)</f>
        <v>0</v>
      </c>
      <c r="H7" s="67"/>
    </row>
    <row r="8" spans="1:19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v>0</v>
      </c>
      <c r="G8" s="73">
        <f t="shared" ref="G8:G16" si="0">SUM(E8:F8)</f>
        <v>0</v>
      </c>
    </row>
    <row r="9" spans="1:19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2">
        <v>0</v>
      </c>
      <c r="G9" s="73">
        <f t="shared" si="0"/>
        <v>0</v>
      </c>
    </row>
    <row r="10" spans="1:19" x14ac:dyDescent="0.55000000000000004">
      <c r="A10" s="147" t="s">
        <v>20</v>
      </c>
      <c r="B10" s="151" t="s">
        <v>26</v>
      </c>
      <c r="C10" s="147" t="s">
        <v>234</v>
      </c>
      <c r="D10" s="146">
        <f>1185000-67000</f>
        <v>1118000</v>
      </c>
      <c r="E10" s="146">
        <v>0</v>
      </c>
      <c r="F10" s="146">
        <v>1076372</v>
      </c>
      <c r="G10" s="73">
        <f t="shared" si="0"/>
        <v>1076372</v>
      </c>
    </row>
    <row r="11" spans="1:19" x14ac:dyDescent="0.55000000000000004">
      <c r="A11" s="147"/>
      <c r="B11" s="151" t="s">
        <v>26</v>
      </c>
      <c r="C11" s="147" t="s">
        <v>292</v>
      </c>
      <c r="D11" s="146"/>
      <c r="E11" s="146"/>
      <c r="F11" s="146">
        <v>12500</v>
      </c>
      <c r="G11" s="73">
        <f t="shared" si="0"/>
        <v>12500</v>
      </c>
    </row>
    <row r="12" spans="1:19" x14ac:dyDescent="0.55000000000000004">
      <c r="A12" s="147"/>
      <c r="B12" s="147" t="s">
        <v>27</v>
      </c>
      <c r="C12" s="147" t="s">
        <v>234</v>
      </c>
      <c r="D12" s="146">
        <v>0</v>
      </c>
      <c r="E12" s="146">
        <v>0</v>
      </c>
      <c r="F12" s="146">
        <v>0</v>
      </c>
      <c r="G12" s="73">
        <f t="shared" si="0"/>
        <v>0</v>
      </c>
      <c r="H12" s="67"/>
    </row>
    <row r="13" spans="1:19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73">
        <f t="shared" si="0"/>
        <v>0</v>
      </c>
    </row>
    <row r="14" spans="1:19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146">
        <v>0</v>
      </c>
      <c r="F14" s="72">
        <v>0</v>
      </c>
      <c r="G14" s="73">
        <f t="shared" si="0"/>
        <v>0</v>
      </c>
    </row>
    <row r="15" spans="1:19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f t="shared" si="0"/>
        <v>0</v>
      </c>
      <c r="H15" s="70"/>
      <c r="I15" s="13"/>
    </row>
    <row r="16" spans="1:19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f t="shared" si="0"/>
        <v>0</v>
      </c>
      <c r="H16" s="158"/>
      <c r="I16" s="13"/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f>SUM(E17:F17)</f>
        <v>0</v>
      </c>
      <c r="H17" s="70"/>
      <c r="I17" s="13"/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146">
        <v>0</v>
      </c>
      <c r="F18" s="73">
        <v>0</v>
      </c>
      <c r="G18" s="73">
        <f>SUM(E18:F18)</f>
        <v>0</v>
      </c>
      <c r="H18" s="70"/>
      <c r="I18" s="13"/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73">
        <f>SUM(E19:F19)</f>
        <v>0</v>
      </c>
      <c r="H19" s="70"/>
      <c r="I19" s="13"/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f>SUM(E20:F20)</f>
        <v>0</v>
      </c>
      <c r="H20" s="158"/>
      <c r="I20" s="13"/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0"/>
      <c r="I21" s="13"/>
    </row>
    <row r="22" spans="1:9" x14ac:dyDescent="0.55000000000000004">
      <c r="A22" s="148"/>
      <c r="B22" s="147"/>
      <c r="C22" s="147"/>
      <c r="D22" s="72"/>
      <c r="E22" s="72"/>
      <c r="F22" s="73"/>
      <c r="G22" s="73"/>
    </row>
    <row r="23" spans="1:9" x14ac:dyDescent="0.55000000000000004">
      <c r="A23" s="149"/>
      <c r="B23" s="152"/>
      <c r="C23" s="152"/>
      <c r="D23" s="150"/>
      <c r="E23" s="150"/>
      <c r="F23" s="153"/>
      <c r="G23" s="153"/>
    </row>
    <row r="24" spans="1:9" ht="24.75" thickBot="1" x14ac:dyDescent="0.6">
      <c r="A24" s="124"/>
      <c r="B24" s="123" t="s">
        <v>9</v>
      </c>
      <c r="C24" s="123"/>
      <c r="D24" s="74">
        <f>SUM(D7:D23)</f>
        <v>1118000</v>
      </c>
      <c r="E24" s="75">
        <f>SUM(E7:E23)</f>
        <v>0</v>
      </c>
      <c r="F24" s="74">
        <f>SUM(F7:F23)</f>
        <v>1088872</v>
      </c>
      <c r="G24" s="76">
        <f>SUM(G7:G23)</f>
        <v>1088872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9"/>
    </row>
    <row r="26" spans="1:9" x14ac:dyDescent="0.55000000000000004">
      <c r="A26" s="77"/>
      <c r="B26" s="36"/>
      <c r="C26" s="36"/>
      <c r="D26" s="78"/>
      <c r="E26" s="78"/>
      <c r="F26" s="78"/>
      <c r="G26" s="79"/>
    </row>
    <row r="27" spans="1:9" x14ac:dyDescent="0.55000000000000004">
      <c r="A27" s="77"/>
      <c r="B27" s="36"/>
      <c r="C27" s="36"/>
      <c r="D27" s="78"/>
      <c r="E27" s="78"/>
      <c r="F27" s="78"/>
      <c r="G27" s="79"/>
    </row>
    <row r="28" spans="1:9" x14ac:dyDescent="0.55000000000000004">
      <c r="A28" s="77"/>
      <c r="B28" s="36"/>
      <c r="C28" s="36"/>
      <c r="D28" s="78"/>
      <c r="E28" s="78"/>
      <c r="F28" s="78"/>
      <c r="G28" s="79"/>
    </row>
    <row r="29" spans="1:9" x14ac:dyDescent="0.55000000000000004">
      <c r="A29" s="77"/>
      <c r="B29" s="36"/>
      <c r="C29" s="36"/>
      <c r="D29" s="78"/>
      <c r="E29" s="78"/>
      <c r="F29" s="78"/>
      <c r="G29" s="79"/>
    </row>
    <row r="30" spans="1:9" x14ac:dyDescent="0.55000000000000004">
      <c r="A30" s="77"/>
      <c r="B30" s="36"/>
      <c r="C30" s="36"/>
      <c r="D30" s="78"/>
      <c r="E30" s="78"/>
      <c r="F30" s="78"/>
      <c r="G30" s="79"/>
    </row>
    <row r="31" spans="1:9" x14ac:dyDescent="0.55000000000000004">
      <c r="A31" s="77"/>
      <c r="B31" s="36"/>
      <c r="C31" s="36"/>
      <c r="D31" s="78"/>
      <c r="E31" s="78"/>
      <c r="F31" s="78"/>
      <c r="G31" s="79"/>
    </row>
    <row r="32" spans="1:9" x14ac:dyDescent="0.55000000000000004">
      <c r="A32" s="77"/>
      <c r="B32" s="36"/>
      <c r="C32" s="36"/>
      <c r="D32" s="78"/>
      <c r="E32" s="78"/>
      <c r="F32" s="78"/>
      <c r="G32" s="79"/>
    </row>
    <row r="33" spans="1:7" x14ac:dyDescent="0.55000000000000004">
      <c r="A33" s="77"/>
      <c r="B33" s="36"/>
      <c r="C33" s="36"/>
      <c r="D33" s="78"/>
      <c r="E33" s="78"/>
      <c r="F33" s="78"/>
      <c r="G33" s="79"/>
    </row>
    <row r="34" spans="1:7" x14ac:dyDescent="0.55000000000000004">
      <c r="A34" s="77"/>
      <c r="B34" s="36"/>
      <c r="C34" s="36"/>
      <c r="D34" s="78"/>
      <c r="E34" s="78"/>
      <c r="F34" s="78"/>
      <c r="G34" s="79"/>
    </row>
    <row r="35" spans="1:7" x14ac:dyDescent="0.55000000000000004">
      <c r="A35" s="77"/>
      <c r="B35" s="36"/>
      <c r="C35" s="36"/>
      <c r="D35" s="78"/>
      <c r="E35" s="78"/>
      <c r="F35" s="78"/>
      <c r="G35" s="79"/>
    </row>
    <row r="36" spans="1:7" x14ac:dyDescent="0.55000000000000004">
      <c r="A36" s="77"/>
      <c r="B36" s="36"/>
      <c r="C36" s="36"/>
      <c r="D36" s="78"/>
      <c r="E36" s="78"/>
      <c r="F36" s="78"/>
      <c r="G36" s="79"/>
    </row>
    <row r="37" spans="1:7" x14ac:dyDescent="0.55000000000000004">
      <c r="A37" s="77"/>
      <c r="B37" s="36"/>
      <c r="C37" s="36"/>
      <c r="D37" s="78"/>
      <c r="E37" s="78"/>
      <c r="F37" s="78"/>
      <c r="G37" s="79"/>
    </row>
    <row r="38" spans="1:7" x14ac:dyDescent="0.55000000000000004">
      <c r="A38" s="77"/>
      <c r="B38" s="36"/>
      <c r="C38" s="36"/>
      <c r="D38" s="78"/>
      <c r="E38" s="78"/>
      <c r="F38" s="78"/>
      <c r="G38" s="79"/>
    </row>
    <row r="39" spans="1:7" x14ac:dyDescent="0.55000000000000004">
      <c r="A39" s="77"/>
      <c r="B39" s="36"/>
      <c r="C39" s="36"/>
      <c r="D39" s="78"/>
      <c r="E39" s="78"/>
      <c r="F39" s="78"/>
      <c r="G39" s="79"/>
    </row>
    <row r="40" spans="1:7" x14ac:dyDescent="0.55000000000000004">
      <c r="A40" s="77"/>
      <c r="B40" s="36"/>
      <c r="C40" s="36"/>
      <c r="D40" s="78"/>
      <c r="E40" s="78"/>
      <c r="F40" s="78"/>
      <c r="G40" s="79"/>
    </row>
    <row r="41" spans="1:7" x14ac:dyDescent="0.55000000000000004">
      <c r="A41" s="77"/>
      <c r="B41" s="36"/>
      <c r="C41" s="36"/>
      <c r="D41" s="78"/>
      <c r="E41" s="78"/>
      <c r="F41" s="78"/>
      <c r="G41" s="79"/>
    </row>
    <row r="42" spans="1:7" x14ac:dyDescent="0.55000000000000004">
      <c r="A42" s="77"/>
      <c r="B42" s="36"/>
      <c r="C42" s="36"/>
      <c r="D42" s="78"/>
      <c r="E42" s="78"/>
      <c r="F42" s="78"/>
      <c r="G42" s="79"/>
    </row>
    <row r="43" spans="1:7" x14ac:dyDescent="0.55000000000000004">
      <c r="A43" s="77"/>
      <c r="B43" s="36"/>
      <c r="C43" s="36"/>
      <c r="D43" s="78"/>
      <c r="E43" s="78"/>
      <c r="F43" s="78"/>
      <c r="G43" s="79"/>
    </row>
    <row r="44" spans="1:7" x14ac:dyDescent="0.55000000000000004">
      <c r="A44" s="77"/>
      <c r="B44" s="36"/>
      <c r="C44" s="36"/>
      <c r="D44" s="78"/>
      <c r="E44" s="78"/>
      <c r="F44" s="78"/>
      <c r="G44" s="79"/>
    </row>
    <row r="45" spans="1:7" x14ac:dyDescent="0.55000000000000004">
      <c r="A45" s="77"/>
      <c r="B45" s="36"/>
      <c r="C45" s="36"/>
      <c r="D45" s="78"/>
      <c r="E45" s="78"/>
      <c r="F45" s="78"/>
      <c r="G45" s="79"/>
    </row>
    <row r="46" spans="1:7" x14ac:dyDescent="0.55000000000000004">
      <c r="A46" s="77"/>
      <c r="B46" s="36"/>
      <c r="C46" s="36"/>
      <c r="D46" s="78"/>
      <c r="E46" s="78"/>
      <c r="F46" s="78"/>
      <c r="G46" s="79"/>
    </row>
    <row r="47" spans="1:7" x14ac:dyDescent="0.55000000000000004">
      <c r="A47" s="77"/>
      <c r="B47" s="36"/>
      <c r="C47" s="36"/>
      <c r="D47" s="78"/>
      <c r="E47" s="78"/>
      <c r="F47" s="78"/>
      <c r="G47" s="79"/>
    </row>
  </sheetData>
  <mergeCells count="10">
    <mergeCell ref="A1:G1"/>
    <mergeCell ref="A2:G2"/>
    <mergeCell ref="A3:G3"/>
    <mergeCell ref="F4:F5"/>
    <mergeCell ref="G4:G5"/>
    <mergeCell ref="A4:A5"/>
    <mergeCell ref="B4:B5"/>
    <mergeCell ref="C4:C5"/>
    <mergeCell ref="D4:D5"/>
    <mergeCell ref="E4:E5"/>
  </mergeCells>
  <phoneticPr fontId="8" type="noConversion"/>
  <printOptions horizontalCentered="1"/>
  <pageMargins left="0.11811023622047245" right="0.11811023622047245" top="0.62992125984251968" bottom="0.59055118110236227" header="0.51181102362204722" footer="0.51181102362204722"/>
  <pageSetup paperSize="9" scale="90" orientation="landscape" horizontalDpi="180" verticalDpi="18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U47"/>
  <sheetViews>
    <sheetView zoomScale="90" zoomScaleNormal="90" workbookViewId="0">
      <selection activeCell="G11" sqref="G11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4" width="21.7109375" style="17" customWidth="1"/>
    <col min="5" max="5" width="23.7109375" style="17" customWidth="1"/>
    <col min="6" max="8" width="25.5703125" style="17" customWidth="1"/>
    <col min="9" max="9" width="17.28515625" style="17" customWidth="1"/>
    <col min="10" max="10" width="15.7109375" style="17" customWidth="1"/>
    <col min="11" max="11" width="13" style="17" customWidth="1"/>
    <col min="12" max="12" width="13.28515625" style="17" customWidth="1"/>
    <col min="13" max="13" width="12" style="17" customWidth="1"/>
    <col min="14" max="15" width="14.28515625" style="17" customWidth="1"/>
    <col min="16" max="16" width="15.85546875" style="17" customWidth="1"/>
    <col min="17" max="17" width="13" style="17" customWidth="1"/>
    <col min="18" max="18" width="15.28515625" style="17" customWidth="1"/>
    <col min="19" max="19" width="13.7109375" style="17" customWidth="1"/>
    <col min="20" max="20" width="12.42578125" style="17" customWidth="1"/>
    <col min="21" max="21" width="11.85546875" style="17" customWidth="1"/>
    <col min="22" max="22" width="14.28515625" style="17" customWidth="1"/>
    <col min="23" max="16384" width="13" style="17"/>
  </cols>
  <sheetData>
    <row r="1" spans="1:21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55000000000000004">
      <c r="A2" s="259" t="s">
        <v>278</v>
      </c>
      <c r="B2" s="259"/>
      <c r="C2" s="259"/>
      <c r="D2" s="259"/>
      <c r="E2" s="259"/>
      <c r="F2" s="259"/>
      <c r="G2" s="259"/>
      <c r="H2" s="259"/>
      <c r="I2" s="25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8" t="s">
        <v>279</v>
      </c>
      <c r="F4" s="286" t="s">
        <v>124</v>
      </c>
      <c r="G4" s="286" t="s">
        <v>280</v>
      </c>
      <c r="H4" s="286" t="s">
        <v>281</v>
      </c>
      <c r="I4" s="286" t="s">
        <v>9</v>
      </c>
    </row>
    <row r="5" spans="1:21" x14ac:dyDescent="0.55000000000000004">
      <c r="A5" s="287"/>
      <c r="B5" s="285"/>
      <c r="C5" s="287"/>
      <c r="D5" s="287"/>
      <c r="E5" s="289"/>
      <c r="F5" s="287"/>
      <c r="G5" s="287"/>
      <c r="H5" s="287"/>
      <c r="I5" s="287"/>
    </row>
    <row r="6" spans="1:21" x14ac:dyDescent="0.55000000000000004">
      <c r="A6" s="110"/>
      <c r="B6" s="110"/>
      <c r="C6" s="110"/>
      <c r="D6" s="110"/>
      <c r="E6" s="110"/>
      <c r="F6" s="110"/>
      <c r="G6" s="110"/>
      <c r="H6" s="110"/>
      <c r="I6" s="110"/>
    </row>
    <row r="7" spans="1:21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v>0</v>
      </c>
      <c r="H7" s="73">
        <v>0</v>
      </c>
      <c r="I7" s="73">
        <f>SUM(E7:H7)</f>
        <v>0</v>
      </c>
      <c r="J7" s="67"/>
    </row>
    <row r="8" spans="1:21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v>0</v>
      </c>
      <c r="G8" s="73">
        <v>0</v>
      </c>
      <c r="H8" s="73">
        <v>0</v>
      </c>
      <c r="I8" s="73">
        <f t="shared" ref="I8:I20" si="0">SUM(E8:H8)</f>
        <v>0</v>
      </c>
    </row>
    <row r="9" spans="1:21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3">
        <f t="shared" si="0"/>
        <v>0</v>
      </c>
    </row>
    <row r="10" spans="1:21" x14ac:dyDescent="0.55000000000000004">
      <c r="A10" s="147" t="s">
        <v>20</v>
      </c>
      <c r="B10" s="151" t="s">
        <v>26</v>
      </c>
      <c r="C10" s="147" t="s">
        <v>234</v>
      </c>
      <c r="D10" s="146">
        <f>200000+10000-150000+430000+50000-30000</f>
        <v>510000</v>
      </c>
      <c r="E10" s="146">
        <v>0</v>
      </c>
      <c r="F10" s="146">
        <f>47700+10000</f>
        <v>57700</v>
      </c>
      <c r="G10" s="146">
        <f>437855.1+8000</f>
        <v>445855.1</v>
      </c>
      <c r="H10" s="146">
        <v>0</v>
      </c>
      <c r="I10" s="73">
        <f t="shared" si="0"/>
        <v>503555.1</v>
      </c>
    </row>
    <row r="11" spans="1:21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146"/>
      <c r="H11" s="146"/>
      <c r="I11" s="73">
        <f t="shared" si="0"/>
        <v>0</v>
      </c>
    </row>
    <row r="12" spans="1:21" x14ac:dyDescent="0.55000000000000004">
      <c r="A12" s="147"/>
      <c r="B12" s="147" t="s">
        <v>27</v>
      </c>
      <c r="C12" s="147" t="s">
        <v>234</v>
      </c>
      <c r="D12" s="146">
        <v>97000</v>
      </c>
      <c r="E12" s="146">
        <v>0</v>
      </c>
      <c r="F12" s="146">
        <v>0</v>
      </c>
      <c r="G12" s="146">
        <v>60000</v>
      </c>
      <c r="H12" s="146">
        <v>0</v>
      </c>
      <c r="I12" s="73">
        <f t="shared" si="0"/>
        <v>60000</v>
      </c>
      <c r="J12" s="67"/>
    </row>
    <row r="13" spans="1:21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73">
        <f t="shared" si="0"/>
        <v>0</v>
      </c>
    </row>
    <row r="14" spans="1:21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146">
        <v>0</v>
      </c>
      <c r="F14" s="72">
        <v>0</v>
      </c>
      <c r="G14" s="72">
        <v>0</v>
      </c>
      <c r="H14" s="72">
        <v>0</v>
      </c>
      <c r="I14" s="73">
        <f t="shared" si="0"/>
        <v>0</v>
      </c>
    </row>
    <row r="15" spans="1:21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v>0</v>
      </c>
      <c r="H15" s="73">
        <v>0</v>
      </c>
      <c r="I15" s="73">
        <f t="shared" si="0"/>
        <v>0</v>
      </c>
    </row>
    <row r="16" spans="1:21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v>0</v>
      </c>
      <c r="H16" s="73">
        <v>0</v>
      </c>
      <c r="I16" s="73">
        <f t="shared" si="0"/>
        <v>0</v>
      </c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v>0</v>
      </c>
      <c r="H17" s="73">
        <v>0</v>
      </c>
      <c r="I17" s="73">
        <f t="shared" si="0"/>
        <v>0</v>
      </c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f>40000+55000</f>
        <v>95000</v>
      </c>
      <c r="E18" s="146">
        <v>0</v>
      </c>
      <c r="F18" s="73">
        <v>20000</v>
      </c>
      <c r="G18" s="73">
        <v>55000</v>
      </c>
      <c r="H18" s="73">
        <v>0</v>
      </c>
      <c r="I18" s="73">
        <f t="shared" si="0"/>
        <v>75000</v>
      </c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69">
        <v>0</v>
      </c>
      <c r="H19" s="69">
        <v>0</v>
      </c>
      <c r="I19" s="73">
        <f t="shared" si="0"/>
        <v>0</v>
      </c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v>0</v>
      </c>
      <c r="H20" s="73">
        <v>0</v>
      </c>
      <c r="I20" s="73">
        <f t="shared" si="0"/>
        <v>0</v>
      </c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3"/>
      <c r="I21" s="73"/>
    </row>
    <row r="22" spans="1:9" x14ac:dyDescent="0.55000000000000004">
      <c r="A22" s="148"/>
      <c r="B22" s="147"/>
      <c r="C22" s="147"/>
      <c r="D22" s="72"/>
      <c r="E22" s="72"/>
      <c r="F22" s="73"/>
      <c r="G22" s="73"/>
      <c r="H22" s="73"/>
      <c r="I22" s="73"/>
    </row>
    <row r="23" spans="1:9" x14ac:dyDescent="0.55000000000000004">
      <c r="A23" s="149"/>
      <c r="B23" s="152"/>
      <c r="C23" s="152"/>
      <c r="D23" s="150"/>
      <c r="E23" s="150"/>
      <c r="F23" s="153"/>
      <c r="G23" s="153"/>
      <c r="H23" s="153"/>
      <c r="I23" s="153"/>
    </row>
    <row r="24" spans="1:9" ht="24.75" thickBot="1" x14ac:dyDescent="0.6">
      <c r="A24" s="124"/>
      <c r="B24" s="123" t="s">
        <v>9</v>
      </c>
      <c r="C24" s="123"/>
      <c r="D24" s="74">
        <f t="shared" ref="D24:I24" si="1">SUM(D7:D23)</f>
        <v>702000</v>
      </c>
      <c r="E24" s="75">
        <f t="shared" si="1"/>
        <v>0</v>
      </c>
      <c r="F24" s="74">
        <f t="shared" si="1"/>
        <v>77700</v>
      </c>
      <c r="G24" s="74">
        <f t="shared" si="1"/>
        <v>560855.1</v>
      </c>
      <c r="H24" s="74">
        <f t="shared" si="1"/>
        <v>0</v>
      </c>
      <c r="I24" s="76">
        <f t="shared" si="1"/>
        <v>638555.1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8"/>
      <c r="H25" s="78"/>
      <c r="I25" s="79"/>
    </row>
    <row r="26" spans="1:9" x14ac:dyDescent="0.55000000000000004">
      <c r="A26" s="77"/>
      <c r="B26" s="36"/>
      <c r="C26" s="36"/>
      <c r="D26" s="78"/>
      <c r="E26" s="78"/>
      <c r="F26" s="78"/>
      <c r="G26" s="78"/>
      <c r="H26" s="78"/>
      <c r="I26" s="79"/>
    </row>
    <row r="27" spans="1:9" x14ac:dyDescent="0.55000000000000004">
      <c r="A27" s="77"/>
      <c r="B27" s="36"/>
      <c r="C27" s="36"/>
      <c r="D27" s="78"/>
      <c r="E27" s="78"/>
      <c r="F27" s="78"/>
      <c r="G27" s="78"/>
      <c r="H27" s="78"/>
      <c r="I27" s="79"/>
    </row>
    <row r="28" spans="1:9" x14ac:dyDescent="0.55000000000000004">
      <c r="A28" s="77"/>
      <c r="B28" s="36"/>
      <c r="C28" s="36"/>
      <c r="D28" s="78"/>
      <c r="E28" s="78"/>
      <c r="F28" s="78"/>
      <c r="G28" s="78"/>
      <c r="H28" s="78"/>
      <c r="I28" s="79"/>
    </row>
    <row r="29" spans="1:9" x14ac:dyDescent="0.55000000000000004">
      <c r="A29" s="77"/>
      <c r="B29" s="36"/>
      <c r="C29" s="36"/>
      <c r="D29" s="78"/>
      <c r="E29" s="78"/>
      <c r="F29" s="78"/>
      <c r="G29" s="78"/>
      <c r="H29" s="78"/>
      <c r="I29" s="79"/>
    </row>
    <row r="30" spans="1:9" x14ac:dyDescent="0.55000000000000004">
      <c r="A30" s="77"/>
      <c r="B30" s="36"/>
      <c r="C30" s="36"/>
      <c r="D30" s="78"/>
      <c r="E30" s="78"/>
      <c r="F30" s="78"/>
      <c r="G30" s="78"/>
      <c r="H30" s="78"/>
      <c r="I30" s="79"/>
    </row>
    <row r="31" spans="1:9" x14ac:dyDescent="0.55000000000000004">
      <c r="A31" s="77"/>
      <c r="B31" s="36"/>
      <c r="C31" s="36"/>
      <c r="D31" s="78"/>
      <c r="E31" s="78"/>
      <c r="F31" s="78"/>
      <c r="G31" s="78"/>
      <c r="H31" s="78"/>
      <c r="I31" s="79"/>
    </row>
    <row r="32" spans="1:9" x14ac:dyDescent="0.55000000000000004">
      <c r="A32" s="77"/>
      <c r="B32" s="36"/>
      <c r="C32" s="36"/>
      <c r="D32" s="78"/>
      <c r="E32" s="78"/>
      <c r="F32" s="78"/>
      <c r="G32" s="78"/>
      <c r="H32" s="78"/>
      <c r="I32" s="79"/>
    </row>
    <row r="33" spans="1:9" x14ac:dyDescent="0.55000000000000004">
      <c r="A33" s="77"/>
      <c r="B33" s="36"/>
      <c r="C33" s="36"/>
      <c r="D33" s="78"/>
      <c r="E33" s="78"/>
      <c r="F33" s="78"/>
      <c r="G33" s="78"/>
      <c r="H33" s="78"/>
      <c r="I33" s="79"/>
    </row>
    <row r="34" spans="1:9" x14ac:dyDescent="0.55000000000000004">
      <c r="A34" s="77"/>
      <c r="B34" s="36"/>
      <c r="C34" s="36"/>
      <c r="D34" s="78"/>
      <c r="E34" s="78"/>
      <c r="F34" s="78"/>
      <c r="G34" s="78"/>
      <c r="H34" s="78"/>
      <c r="I34" s="79"/>
    </row>
    <row r="35" spans="1:9" x14ac:dyDescent="0.55000000000000004">
      <c r="A35" s="77"/>
      <c r="B35" s="36"/>
      <c r="C35" s="36"/>
      <c r="D35" s="78"/>
      <c r="E35" s="78"/>
      <c r="F35" s="78"/>
      <c r="G35" s="78"/>
      <c r="H35" s="78"/>
      <c r="I35" s="79"/>
    </row>
    <row r="36" spans="1:9" x14ac:dyDescent="0.55000000000000004">
      <c r="A36" s="77"/>
      <c r="B36" s="36"/>
      <c r="C36" s="36"/>
      <c r="D36" s="78"/>
      <c r="E36" s="78"/>
      <c r="F36" s="78"/>
      <c r="G36" s="78"/>
      <c r="H36" s="78"/>
      <c r="I36" s="79"/>
    </row>
    <row r="37" spans="1:9" x14ac:dyDescent="0.55000000000000004">
      <c r="A37" s="77"/>
      <c r="B37" s="36"/>
      <c r="C37" s="36"/>
      <c r="D37" s="78"/>
      <c r="E37" s="78"/>
      <c r="F37" s="78"/>
      <c r="G37" s="78"/>
      <c r="H37" s="78"/>
      <c r="I37" s="79"/>
    </row>
    <row r="38" spans="1:9" x14ac:dyDescent="0.55000000000000004">
      <c r="A38" s="77"/>
      <c r="B38" s="36"/>
      <c r="C38" s="36"/>
      <c r="D38" s="78"/>
      <c r="E38" s="78"/>
      <c r="F38" s="78"/>
      <c r="G38" s="78"/>
      <c r="H38" s="78"/>
      <c r="I38" s="79"/>
    </row>
    <row r="39" spans="1:9" x14ac:dyDescent="0.55000000000000004">
      <c r="A39" s="77"/>
      <c r="B39" s="36"/>
      <c r="C39" s="36"/>
      <c r="D39" s="78"/>
      <c r="E39" s="78"/>
      <c r="F39" s="78"/>
      <c r="G39" s="78"/>
      <c r="H39" s="78"/>
      <c r="I39" s="79"/>
    </row>
    <row r="40" spans="1:9" x14ac:dyDescent="0.55000000000000004">
      <c r="A40" s="77"/>
      <c r="B40" s="36"/>
      <c r="C40" s="36"/>
      <c r="D40" s="78"/>
      <c r="E40" s="78"/>
      <c r="F40" s="78"/>
      <c r="G40" s="78"/>
      <c r="H40" s="78"/>
      <c r="I40" s="79"/>
    </row>
    <row r="41" spans="1:9" x14ac:dyDescent="0.55000000000000004">
      <c r="A41" s="77"/>
      <c r="B41" s="36"/>
      <c r="C41" s="36"/>
      <c r="D41" s="78"/>
      <c r="E41" s="78"/>
      <c r="F41" s="78"/>
      <c r="G41" s="78"/>
      <c r="H41" s="78"/>
      <c r="I41" s="79"/>
    </row>
    <row r="42" spans="1:9" x14ac:dyDescent="0.55000000000000004">
      <c r="A42" s="77"/>
      <c r="B42" s="36"/>
      <c r="C42" s="36"/>
      <c r="D42" s="78"/>
      <c r="E42" s="78"/>
      <c r="F42" s="78"/>
      <c r="G42" s="78"/>
      <c r="H42" s="78"/>
      <c r="I42" s="79"/>
    </row>
    <row r="43" spans="1:9" x14ac:dyDescent="0.55000000000000004">
      <c r="A43" s="77"/>
      <c r="B43" s="36"/>
      <c r="C43" s="36"/>
      <c r="D43" s="78"/>
      <c r="E43" s="78"/>
      <c r="F43" s="78"/>
      <c r="G43" s="78"/>
      <c r="H43" s="78"/>
      <c r="I43" s="79"/>
    </row>
    <row r="44" spans="1:9" x14ac:dyDescent="0.55000000000000004">
      <c r="A44" s="77"/>
      <c r="B44" s="36"/>
      <c r="C44" s="36"/>
      <c r="D44" s="78"/>
      <c r="E44" s="78"/>
      <c r="F44" s="78"/>
      <c r="G44" s="78"/>
      <c r="H44" s="78"/>
      <c r="I44" s="79"/>
    </row>
    <row r="45" spans="1:9" x14ac:dyDescent="0.55000000000000004">
      <c r="A45" s="77"/>
      <c r="B45" s="36"/>
      <c r="C45" s="36"/>
      <c r="D45" s="78"/>
      <c r="E45" s="78"/>
      <c r="F45" s="78"/>
      <c r="G45" s="78"/>
      <c r="H45" s="78"/>
      <c r="I45" s="79"/>
    </row>
    <row r="46" spans="1:9" x14ac:dyDescent="0.55000000000000004">
      <c r="A46" s="77"/>
      <c r="B46" s="36"/>
      <c r="C46" s="36"/>
      <c r="D46" s="78"/>
      <c r="E46" s="78"/>
      <c r="F46" s="78"/>
      <c r="G46" s="78"/>
      <c r="H46" s="78"/>
      <c r="I46" s="79"/>
    </row>
    <row r="47" spans="1:9" x14ac:dyDescent="0.55000000000000004">
      <c r="A47" s="77"/>
      <c r="B47" s="36"/>
      <c r="C47" s="36"/>
      <c r="D47" s="78"/>
      <c r="E47" s="78"/>
      <c r="F47" s="78"/>
      <c r="G47" s="78"/>
      <c r="H47" s="78"/>
      <c r="I47" s="79"/>
    </row>
  </sheetData>
  <mergeCells count="12">
    <mergeCell ref="H4:H5"/>
    <mergeCell ref="A1:I1"/>
    <mergeCell ref="A2:I2"/>
    <mergeCell ref="A3:I3"/>
    <mergeCell ref="I4:I5"/>
    <mergeCell ref="G4:G5"/>
    <mergeCell ref="F4:F5"/>
    <mergeCell ref="A4:A5"/>
    <mergeCell ref="B4:B5"/>
    <mergeCell ref="C4:C5"/>
    <mergeCell ref="D4:D5"/>
    <mergeCell ref="E4:E5"/>
  </mergeCells>
  <phoneticPr fontId="8" type="noConversion"/>
  <printOptions horizontalCentered="1"/>
  <pageMargins left="7.874015748031496E-2" right="7.874015748031496E-2" top="0.59055118110236227" bottom="0.62992125984251968" header="0.51181102362204722" footer="0.51181102362204722"/>
  <pageSetup paperSize="9" scale="70" orientation="landscape" horizontalDpi="180" verticalDpi="18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topLeftCell="D1" zoomScale="90" zoomScaleNormal="90" workbookViewId="0">
      <selection activeCell="G15" sqref="G15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4" width="21.7109375" style="17" customWidth="1"/>
    <col min="5" max="5" width="28.42578125" style="17" customWidth="1"/>
    <col min="6" max="6" width="25.5703125" style="17" customWidth="1"/>
    <col min="7" max="7" width="21.7109375" style="17" customWidth="1"/>
    <col min="8" max="8" width="15.7109375" style="17" customWidth="1"/>
    <col min="9" max="9" width="13" style="17" customWidth="1"/>
    <col min="10" max="10" width="13.28515625" style="17" customWidth="1"/>
    <col min="11" max="11" width="12" style="17" customWidth="1"/>
    <col min="12" max="13" width="14.28515625" style="17" customWidth="1"/>
    <col min="14" max="14" width="15.85546875" style="17" customWidth="1"/>
    <col min="15" max="15" width="13" style="17" customWidth="1"/>
    <col min="16" max="16" width="15.28515625" style="17" customWidth="1"/>
    <col min="17" max="17" width="13.7109375" style="17" customWidth="1"/>
    <col min="18" max="18" width="12.42578125" style="17" customWidth="1"/>
    <col min="19" max="19" width="11.85546875" style="17" customWidth="1"/>
    <col min="20" max="20" width="14.28515625" style="17" customWidth="1"/>
    <col min="21" max="16384" width="13" style="17"/>
  </cols>
  <sheetData>
    <row r="1" spans="1:19" x14ac:dyDescent="0.55000000000000004">
      <c r="A1" s="259" t="s">
        <v>30</v>
      </c>
      <c r="B1" s="259"/>
      <c r="C1" s="259"/>
      <c r="D1" s="259"/>
      <c r="E1" s="259"/>
      <c r="F1" s="259"/>
      <c r="G1" s="25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55000000000000004">
      <c r="A2" s="259" t="s">
        <v>282</v>
      </c>
      <c r="B2" s="259"/>
      <c r="C2" s="259"/>
      <c r="D2" s="259"/>
      <c r="E2" s="259"/>
      <c r="F2" s="259"/>
      <c r="G2" s="25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283</v>
      </c>
      <c r="F4" s="286" t="s">
        <v>284</v>
      </c>
      <c r="G4" s="286" t="s">
        <v>9</v>
      </c>
    </row>
    <row r="5" spans="1:19" x14ac:dyDescent="0.55000000000000004">
      <c r="A5" s="287"/>
      <c r="B5" s="285"/>
      <c r="C5" s="287"/>
      <c r="D5" s="287"/>
      <c r="E5" s="287"/>
      <c r="F5" s="287"/>
      <c r="G5" s="287"/>
    </row>
    <row r="6" spans="1:19" x14ac:dyDescent="0.55000000000000004">
      <c r="A6" s="110"/>
      <c r="B6" s="110"/>
      <c r="C6" s="110"/>
      <c r="D6" s="110"/>
      <c r="E6" s="110"/>
      <c r="F6" s="110"/>
      <c r="G6" s="110"/>
    </row>
    <row r="7" spans="1:19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f>SUM(E7:F7)</f>
        <v>0</v>
      </c>
      <c r="H7" s="67"/>
    </row>
    <row r="8" spans="1:19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v>0</v>
      </c>
      <c r="G8" s="73">
        <f t="shared" ref="G8:G20" si="0">SUM(E8:F8)</f>
        <v>0</v>
      </c>
    </row>
    <row r="9" spans="1:19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2">
        <v>0</v>
      </c>
      <c r="G9" s="73">
        <f t="shared" si="0"/>
        <v>0</v>
      </c>
    </row>
    <row r="10" spans="1:19" x14ac:dyDescent="0.55000000000000004">
      <c r="A10" s="147" t="s">
        <v>20</v>
      </c>
      <c r="B10" s="151" t="s">
        <v>26</v>
      </c>
      <c r="C10" s="147" t="s">
        <v>234</v>
      </c>
      <c r="D10" s="146">
        <v>0</v>
      </c>
      <c r="E10" s="146">
        <v>0</v>
      </c>
      <c r="F10" s="146">
        <v>0</v>
      </c>
      <c r="G10" s="73">
        <f t="shared" si="0"/>
        <v>0</v>
      </c>
    </row>
    <row r="11" spans="1:19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73">
        <f t="shared" si="0"/>
        <v>0</v>
      </c>
    </row>
    <row r="12" spans="1:19" x14ac:dyDescent="0.55000000000000004">
      <c r="A12" s="147"/>
      <c r="B12" s="147" t="s">
        <v>27</v>
      </c>
      <c r="C12" s="147" t="s">
        <v>234</v>
      </c>
      <c r="D12" s="146">
        <v>0</v>
      </c>
      <c r="E12" s="146">
        <v>0</v>
      </c>
      <c r="F12" s="146">
        <v>0</v>
      </c>
      <c r="G12" s="73">
        <f t="shared" si="0"/>
        <v>0</v>
      </c>
      <c r="H12" s="67"/>
    </row>
    <row r="13" spans="1:19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73">
        <f t="shared" si="0"/>
        <v>0</v>
      </c>
    </row>
    <row r="14" spans="1:19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146">
        <v>0</v>
      </c>
      <c r="F14" s="72">
        <v>0</v>
      </c>
      <c r="G14" s="73">
        <f t="shared" si="0"/>
        <v>0</v>
      </c>
      <c r="H14" s="13"/>
      <c r="I14" s="13"/>
      <c r="J14" s="13"/>
      <c r="K14" s="13"/>
      <c r="L14" s="13"/>
      <c r="M14" s="13"/>
    </row>
    <row r="15" spans="1:19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f t="shared" si="0"/>
        <v>0</v>
      </c>
      <c r="H15" s="13"/>
      <c r="I15" s="13"/>
      <c r="J15" s="13"/>
      <c r="K15" s="13"/>
      <c r="L15" s="13"/>
      <c r="M15" s="13"/>
    </row>
    <row r="16" spans="1:19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f t="shared" si="0"/>
        <v>0</v>
      </c>
      <c r="H16" s="158"/>
      <c r="I16" s="13"/>
      <c r="J16" s="13"/>
      <c r="K16" s="13"/>
      <c r="L16" s="13"/>
      <c r="M16" s="13"/>
    </row>
    <row r="17" spans="1:13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f t="shared" si="0"/>
        <v>0</v>
      </c>
      <c r="H17" s="13"/>
      <c r="I17" s="13"/>
      <c r="J17" s="13"/>
      <c r="K17" s="13"/>
      <c r="L17" s="13"/>
      <c r="M17" s="13"/>
    </row>
    <row r="18" spans="1:13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146">
        <v>0</v>
      </c>
      <c r="F18" s="73">
        <v>0</v>
      </c>
      <c r="G18" s="73">
        <f t="shared" si="0"/>
        <v>0</v>
      </c>
      <c r="H18" s="13"/>
      <c r="I18" s="13"/>
      <c r="J18" s="13"/>
      <c r="K18" s="13"/>
      <c r="L18" s="13"/>
      <c r="M18" s="13"/>
    </row>
    <row r="19" spans="1:13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73">
        <f t="shared" si="0"/>
        <v>0</v>
      </c>
      <c r="H19" s="13"/>
      <c r="I19" s="13"/>
      <c r="J19" s="13"/>
      <c r="K19" s="13"/>
      <c r="L19" s="13"/>
      <c r="M19" s="13"/>
    </row>
    <row r="20" spans="1:13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f t="shared" si="0"/>
        <v>0</v>
      </c>
      <c r="H20" s="158"/>
      <c r="I20" s="13"/>
      <c r="J20" s="13"/>
      <c r="K20" s="13"/>
      <c r="L20" s="13"/>
      <c r="M20" s="13"/>
    </row>
    <row r="21" spans="1:13" x14ac:dyDescent="0.55000000000000004">
      <c r="A21" s="148"/>
      <c r="B21" s="147"/>
      <c r="C21" s="147"/>
      <c r="D21" s="72"/>
      <c r="E21" s="72"/>
      <c r="F21" s="73"/>
      <c r="G21" s="73"/>
      <c r="H21" s="13"/>
      <c r="I21" s="13"/>
      <c r="J21" s="13"/>
      <c r="K21" s="13"/>
      <c r="L21" s="13"/>
      <c r="M21" s="13"/>
    </row>
    <row r="22" spans="1:13" x14ac:dyDescent="0.55000000000000004">
      <c r="A22" s="148"/>
      <c r="B22" s="147"/>
      <c r="C22" s="147"/>
      <c r="D22" s="72"/>
      <c r="E22" s="72"/>
      <c r="F22" s="73"/>
      <c r="G22" s="73"/>
      <c r="H22" s="13"/>
      <c r="I22" s="13"/>
      <c r="J22" s="13"/>
      <c r="K22" s="13"/>
      <c r="L22" s="13"/>
      <c r="M22" s="13"/>
    </row>
    <row r="23" spans="1:13" x14ac:dyDescent="0.55000000000000004">
      <c r="A23" s="149"/>
      <c r="B23" s="152"/>
      <c r="C23" s="152"/>
      <c r="D23" s="150"/>
      <c r="E23" s="150"/>
      <c r="F23" s="153"/>
      <c r="G23" s="153"/>
      <c r="H23" s="13"/>
      <c r="I23" s="13"/>
      <c r="J23" s="13"/>
      <c r="K23" s="13"/>
      <c r="L23" s="13"/>
      <c r="M23" s="13"/>
    </row>
    <row r="24" spans="1:13" ht="24.75" thickBot="1" x14ac:dyDescent="0.6">
      <c r="A24" s="124"/>
      <c r="B24" s="123" t="s">
        <v>9</v>
      </c>
      <c r="C24" s="123"/>
      <c r="D24" s="74">
        <f>SUM(D7:D23)</f>
        <v>0</v>
      </c>
      <c r="E24" s="75">
        <f>SUM(E7:E23)</f>
        <v>0</v>
      </c>
      <c r="F24" s="74">
        <f>SUM(F7:F23)</f>
        <v>0</v>
      </c>
      <c r="G24" s="76">
        <f>SUM(G7:G23)</f>
        <v>0</v>
      </c>
      <c r="H24" s="13"/>
      <c r="I24" s="13"/>
      <c r="J24" s="13"/>
      <c r="K24" s="13"/>
      <c r="L24" s="13"/>
      <c r="M24" s="13"/>
    </row>
    <row r="25" spans="1:13" ht="24.75" thickTop="1" x14ac:dyDescent="0.55000000000000004">
      <c r="A25" s="77"/>
      <c r="B25" s="36"/>
      <c r="C25" s="36"/>
      <c r="D25" s="78"/>
      <c r="E25" s="78"/>
      <c r="F25" s="78"/>
      <c r="G25" s="79"/>
      <c r="H25" s="13"/>
      <c r="I25" s="13"/>
      <c r="J25" s="13"/>
      <c r="K25" s="13"/>
      <c r="L25" s="13"/>
      <c r="M25" s="13"/>
    </row>
    <row r="26" spans="1:13" x14ac:dyDescent="0.55000000000000004">
      <c r="A26" s="77"/>
      <c r="B26" s="36"/>
      <c r="C26" s="36"/>
      <c r="D26" s="78"/>
      <c r="E26" s="78"/>
      <c r="F26" s="78"/>
      <c r="G26" s="79"/>
    </row>
    <row r="27" spans="1:13" x14ac:dyDescent="0.55000000000000004">
      <c r="A27" s="77"/>
      <c r="B27" s="36"/>
      <c r="C27" s="36"/>
      <c r="D27" s="78"/>
      <c r="E27" s="78"/>
      <c r="F27" s="78"/>
      <c r="G27" s="79"/>
    </row>
    <row r="28" spans="1:13" x14ac:dyDescent="0.55000000000000004">
      <c r="A28" s="77"/>
      <c r="B28" s="36"/>
      <c r="C28" s="36"/>
      <c r="D28" s="78"/>
      <c r="E28" s="78"/>
      <c r="F28" s="78"/>
      <c r="G28" s="79"/>
    </row>
    <row r="29" spans="1:13" x14ac:dyDescent="0.55000000000000004">
      <c r="A29" s="77"/>
      <c r="B29" s="36"/>
      <c r="C29" s="36"/>
      <c r="D29" s="78"/>
      <c r="E29" s="78"/>
      <c r="F29" s="78"/>
      <c r="G29" s="79"/>
    </row>
    <row r="30" spans="1:13" x14ac:dyDescent="0.55000000000000004">
      <c r="A30" s="77"/>
      <c r="B30" s="36"/>
      <c r="C30" s="36"/>
      <c r="D30" s="78"/>
      <c r="E30" s="78"/>
      <c r="F30" s="78"/>
      <c r="G30" s="79"/>
    </row>
    <row r="31" spans="1:13" x14ac:dyDescent="0.55000000000000004">
      <c r="A31" s="77"/>
      <c r="B31" s="36"/>
      <c r="C31" s="36"/>
      <c r="D31" s="78"/>
      <c r="E31" s="78"/>
      <c r="F31" s="78"/>
      <c r="G31" s="79"/>
    </row>
    <row r="32" spans="1:13" x14ac:dyDescent="0.55000000000000004">
      <c r="A32" s="77"/>
      <c r="B32" s="36"/>
      <c r="C32" s="36"/>
      <c r="D32" s="78"/>
      <c r="E32" s="78"/>
      <c r="F32" s="78"/>
      <c r="G32" s="79"/>
    </row>
    <row r="33" spans="1:7" x14ac:dyDescent="0.55000000000000004">
      <c r="A33" s="77"/>
      <c r="B33" s="36"/>
      <c r="C33" s="36"/>
      <c r="D33" s="78"/>
      <c r="E33" s="78"/>
      <c r="F33" s="78"/>
      <c r="G33" s="79"/>
    </row>
    <row r="34" spans="1:7" x14ac:dyDescent="0.55000000000000004">
      <c r="A34" s="77"/>
      <c r="B34" s="36"/>
      <c r="C34" s="36"/>
      <c r="D34" s="78"/>
      <c r="E34" s="78"/>
      <c r="F34" s="78"/>
      <c r="G34" s="79"/>
    </row>
    <row r="35" spans="1:7" x14ac:dyDescent="0.55000000000000004">
      <c r="A35" s="77"/>
      <c r="B35" s="36"/>
      <c r="C35" s="36"/>
      <c r="D35" s="78"/>
      <c r="E35" s="78"/>
      <c r="F35" s="78"/>
      <c r="G35" s="79"/>
    </row>
    <row r="36" spans="1:7" x14ac:dyDescent="0.55000000000000004">
      <c r="A36" s="77"/>
      <c r="B36" s="36"/>
      <c r="C36" s="36"/>
      <c r="D36" s="78"/>
      <c r="E36" s="78"/>
      <c r="F36" s="78"/>
      <c r="G36" s="79"/>
    </row>
    <row r="37" spans="1:7" x14ac:dyDescent="0.55000000000000004">
      <c r="A37" s="77"/>
      <c r="B37" s="36"/>
      <c r="C37" s="36"/>
      <c r="D37" s="78"/>
      <c r="E37" s="78"/>
      <c r="F37" s="78"/>
      <c r="G37" s="79"/>
    </row>
    <row r="38" spans="1:7" x14ac:dyDescent="0.55000000000000004">
      <c r="A38" s="77"/>
      <c r="B38" s="36"/>
      <c r="C38" s="36"/>
      <c r="D38" s="78"/>
      <c r="E38" s="78"/>
      <c r="F38" s="78"/>
      <c r="G38" s="79"/>
    </row>
    <row r="39" spans="1:7" x14ac:dyDescent="0.55000000000000004">
      <c r="A39" s="77"/>
      <c r="B39" s="36"/>
      <c r="C39" s="36"/>
      <c r="D39" s="78"/>
      <c r="E39" s="78"/>
      <c r="F39" s="78"/>
      <c r="G39" s="79"/>
    </row>
    <row r="40" spans="1:7" x14ac:dyDescent="0.55000000000000004">
      <c r="A40" s="77"/>
      <c r="B40" s="36"/>
      <c r="C40" s="36"/>
      <c r="D40" s="78"/>
      <c r="E40" s="78"/>
      <c r="F40" s="78"/>
      <c r="G40" s="79"/>
    </row>
    <row r="41" spans="1:7" x14ac:dyDescent="0.55000000000000004">
      <c r="A41" s="77"/>
      <c r="B41" s="36"/>
      <c r="C41" s="36"/>
      <c r="D41" s="78"/>
      <c r="E41" s="78"/>
      <c r="F41" s="78"/>
      <c r="G41" s="79"/>
    </row>
    <row r="42" spans="1:7" x14ac:dyDescent="0.55000000000000004">
      <c r="A42" s="77"/>
      <c r="B42" s="36"/>
      <c r="C42" s="36"/>
      <c r="D42" s="78"/>
      <c r="E42" s="78"/>
      <c r="F42" s="78"/>
      <c r="G42" s="79"/>
    </row>
    <row r="43" spans="1:7" x14ac:dyDescent="0.55000000000000004">
      <c r="A43" s="77"/>
      <c r="B43" s="36"/>
      <c r="C43" s="36"/>
      <c r="D43" s="78"/>
      <c r="E43" s="78"/>
      <c r="F43" s="78"/>
      <c r="G43" s="79"/>
    </row>
    <row r="44" spans="1:7" x14ac:dyDescent="0.55000000000000004">
      <c r="A44" s="77"/>
      <c r="B44" s="36"/>
      <c r="C44" s="36"/>
      <c r="D44" s="78"/>
      <c r="E44" s="78"/>
      <c r="F44" s="78"/>
      <c r="G44" s="79"/>
    </row>
    <row r="45" spans="1:7" x14ac:dyDescent="0.55000000000000004">
      <c r="A45" s="77"/>
      <c r="B45" s="36"/>
      <c r="C45" s="36"/>
      <c r="D45" s="78"/>
      <c r="E45" s="78"/>
      <c r="F45" s="78"/>
      <c r="G45" s="79"/>
    </row>
    <row r="46" spans="1:7" x14ac:dyDescent="0.55000000000000004">
      <c r="A46" s="77"/>
      <c r="B46" s="36"/>
      <c r="C46" s="36"/>
      <c r="D46" s="78"/>
      <c r="E46" s="78"/>
      <c r="F46" s="78"/>
      <c r="G46" s="79"/>
    </row>
    <row r="47" spans="1:7" x14ac:dyDescent="0.55000000000000004">
      <c r="A47" s="77"/>
      <c r="B47" s="36"/>
      <c r="C47" s="36"/>
      <c r="D47" s="78"/>
      <c r="E47" s="78"/>
      <c r="F47" s="78"/>
      <c r="G47" s="79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rintOptions horizontalCentered="1"/>
  <pageMargins left="7.874015748031496E-2" right="7.874015748031496E-2" top="0.59055118110236227" bottom="0.62992125984251968" header="0.51181102362204722" footer="0.51181102362204722"/>
  <pageSetup paperSize="9" orientation="landscape" horizontalDpi="180" verticalDpi="18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topLeftCell="A4" zoomScale="90" zoomScaleNormal="90" workbookViewId="0">
      <selection activeCell="G15" sqref="G15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4" width="21.7109375" style="17" customWidth="1"/>
    <col min="5" max="5" width="28.42578125" style="17" customWidth="1"/>
    <col min="6" max="6" width="25.5703125" style="17" customWidth="1"/>
    <col min="7" max="7" width="21.7109375" style="17" customWidth="1"/>
    <col min="8" max="8" width="15.7109375" style="17" customWidth="1"/>
    <col min="9" max="9" width="13" style="17" customWidth="1"/>
    <col min="10" max="10" width="13.28515625" style="17" customWidth="1"/>
    <col min="11" max="11" width="12" style="17" customWidth="1"/>
    <col min="12" max="13" width="14.28515625" style="17" customWidth="1"/>
    <col min="14" max="14" width="15.85546875" style="17" customWidth="1"/>
    <col min="15" max="15" width="13" style="17" customWidth="1"/>
    <col min="16" max="16" width="15.28515625" style="17" customWidth="1"/>
    <col min="17" max="17" width="13.7109375" style="17" customWidth="1"/>
    <col min="18" max="18" width="12.42578125" style="17" customWidth="1"/>
    <col min="19" max="19" width="11.85546875" style="17" customWidth="1"/>
    <col min="20" max="20" width="14.28515625" style="17" customWidth="1"/>
    <col min="21" max="16384" width="13" style="17"/>
  </cols>
  <sheetData>
    <row r="1" spans="1:19" x14ac:dyDescent="0.55000000000000004">
      <c r="A1" s="259" t="s">
        <v>30</v>
      </c>
      <c r="B1" s="259"/>
      <c r="C1" s="259"/>
      <c r="D1" s="259"/>
      <c r="E1" s="259"/>
      <c r="F1" s="259"/>
      <c r="G1" s="25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55000000000000004">
      <c r="A2" s="259" t="s">
        <v>285</v>
      </c>
      <c r="B2" s="259"/>
      <c r="C2" s="259"/>
      <c r="D2" s="259"/>
      <c r="E2" s="259"/>
      <c r="F2" s="259"/>
      <c r="G2" s="25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 customHeight="1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286</v>
      </c>
      <c r="F4" s="286" t="s">
        <v>287</v>
      </c>
      <c r="G4" s="286" t="s">
        <v>9</v>
      </c>
    </row>
    <row r="5" spans="1:19" x14ac:dyDescent="0.55000000000000004">
      <c r="A5" s="287"/>
      <c r="B5" s="285"/>
      <c r="C5" s="287"/>
      <c r="D5" s="287"/>
      <c r="E5" s="287"/>
      <c r="F5" s="287"/>
      <c r="G5" s="287"/>
    </row>
    <row r="6" spans="1:19" x14ac:dyDescent="0.55000000000000004">
      <c r="A6" s="110"/>
      <c r="B6" s="110"/>
      <c r="C6" s="110"/>
      <c r="D6" s="110"/>
      <c r="E6" s="110"/>
      <c r="F6" s="110"/>
      <c r="G6" s="110"/>
    </row>
    <row r="7" spans="1:19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f>SUM(E7:F7)</f>
        <v>0</v>
      </c>
      <c r="H7" s="67"/>
    </row>
    <row r="8" spans="1:19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v>0</v>
      </c>
      <c r="G8" s="73">
        <f t="shared" ref="G8:G20" si="0">SUM(E8:F8)</f>
        <v>0</v>
      </c>
    </row>
    <row r="9" spans="1:19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2">
        <v>0</v>
      </c>
      <c r="G9" s="73">
        <f t="shared" si="0"/>
        <v>0</v>
      </c>
    </row>
    <row r="10" spans="1:19" x14ac:dyDescent="0.55000000000000004">
      <c r="A10" s="147" t="s">
        <v>20</v>
      </c>
      <c r="B10" s="151" t="s">
        <v>26</v>
      </c>
      <c r="C10" s="147" t="s">
        <v>234</v>
      </c>
      <c r="D10" s="146">
        <v>0</v>
      </c>
      <c r="E10" s="146">
        <v>0</v>
      </c>
      <c r="F10" s="146">
        <v>0</v>
      </c>
      <c r="G10" s="73">
        <f t="shared" si="0"/>
        <v>0</v>
      </c>
    </row>
    <row r="11" spans="1:19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73">
        <f t="shared" si="0"/>
        <v>0</v>
      </c>
    </row>
    <row r="12" spans="1:19" x14ac:dyDescent="0.55000000000000004">
      <c r="A12" s="147"/>
      <c r="B12" s="147" t="s">
        <v>27</v>
      </c>
      <c r="C12" s="147" t="s">
        <v>234</v>
      </c>
      <c r="D12" s="146">
        <v>0</v>
      </c>
      <c r="E12" s="146">
        <v>0</v>
      </c>
      <c r="F12" s="146">
        <v>0</v>
      </c>
      <c r="G12" s="73">
        <f t="shared" si="0"/>
        <v>0</v>
      </c>
      <c r="H12" s="67"/>
    </row>
    <row r="13" spans="1:19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73">
        <f t="shared" si="0"/>
        <v>0</v>
      </c>
    </row>
    <row r="14" spans="1:19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146">
        <v>0</v>
      </c>
      <c r="F14" s="72">
        <v>0</v>
      </c>
      <c r="G14" s="73">
        <f t="shared" si="0"/>
        <v>0</v>
      </c>
    </row>
    <row r="15" spans="1:19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f t="shared" si="0"/>
        <v>0</v>
      </c>
      <c r="H15" s="70"/>
      <c r="I15" s="13"/>
    </row>
    <row r="16" spans="1:19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f t="shared" si="0"/>
        <v>0</v>
      </c>
      <c r="H16" s="158"/>
      <c r="I16" s="13"/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f t="shared" si="0"/>
        <v>0</v>
      </c>
      <c r="H17" s="70"/>
      <c r="I17" s="13"/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146">
        <v>0</v>
      </c>
      <c r="F18" s="73">
        <v>0</v>
      </c>
      <c r="G18" s="73">
        <f t="shared" si="0"/>
        <v>0</v>
      </c>
      <c r="H18" s="70"/>
      <c r="I18" s="13"/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73">
        <f t="shared" si="0"/>
        <v>0</v>
      </c>
      <c r="H19" s="70"/>
      <c r="I19" s="13"/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f t="shared" si="0"/>
        <v>0</v>
      </c>
      <c r="H20" s="158"/>
      <c r="I20" s="13"/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0"/>
      <c r="I21" s="13"/>
    </row>
    <row r="22" spans="1:9" x14ac:dyDescent="0.55000000000000004">
      <c r="A22" s="148"/>
      <c r="B22" s="147"/>
      <c r="C22" s="147"/>
      <c r="D22" s="72"/>
      <c r="E22" s="72"/>
      <c r="F22" s="73"/>
      <c r="G22" s="73"/>
    </row>
    <row r="23" spans="1:9" x14ac:dyDescent="0.55000000000000004">
      <c r="A23" s="149"/>
      <c r="B23" s="152"/>
      <c r="C23" s="152"/>
      <c r="D23" s="150"/>
      <c r="E23" s="150"/>
      <c r="F23" s="153"/>
      <c r="G23" s="153"/>
    </row>
    <row r="24" spans="1:9" ht="24.75" thickBot="1" x14ac:dyDescent="0.6">
      <c r="A24" s="124"/>
      <c r="B24" s="123" t="s">
        <v>9</v>
      </c>
      <c r="C24" s="123"/>
      <c r="D24" s="74">
        <f>SUM(D7:D23)</f>
        <v>0</v>
      </c>
      <c r="E24" s="75">
        <f>SUM(E7:E23)</f>
        <v>0</v>
      </c>
      <c r="F24" s="74">
        <f>SUM(F7:F23)</f>
        <v>0</v>
      </c>
      <c r="G24" s="76">
        <f>SUM(G7:G23)</f>
        <v>0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9"/>
    </row>
    <row r="26" spans="1:9" x14ac:dyDescent="0.55000000000000004">
      <c r="A26" s="77"/>
      <c r="B26" s="36"/>
      <c r="C26" s="36"/>
      <c r="D26" s="78"/>
      <c r="E26" s="78"/>
      <c r="F26" s="78"/>
      <c r="G26" s="79"/>
    </row>
    <row r="27" spans="1:9" x14ac:dyDescent="0.55000000000000004">
      <c r="A27" s="77"/>
      <c r="B27" s="36"/>
      <c r="C27" s="36"/>
      <c r="D27" s="78"/>
      <c r="E27" s="78"/>
      <c r="F27" s="78"/>
      <c r="G27" s="79"/>
    </row>
    <row r="28" spans="1:9" x14ac:dyDescent="0.55000000000000004">
      <c r="A28" s="77"/>
      <c r="B28" s="36"/>
      <c r="C28" s="36"/>
      <c r="D28" s="78"/>
      <c r="E28" s="78"/>
      <c r="F28" s="78"/>
      <c r="G28" s="79"/>
    </row>
    <row r="29" spans="1:9" x14ac:dyDescent="0.55000000000000004">
      <c r="A29" s="77"/>
      <c r="B29" s="36"/>
      <c r="C29" s="36"/>
      <c r="D29" s="78"/>
      <c r="E29" s="78"/>
      <c r="F29" s="78"/>
      <c r="G29" s="79"/>
    </row>
    <row r="30" spans="1:9" x14ac:dyDescent="0.55000000000000004">
      <c r="A30" s="77"/>
      <c r="B30" s="36"/>
      <c r="C30" s="36"/>
      <c r="D30" s="78"/>
      <c r="E30" s="78"/>
      <c r="F30" s="78"/>
      <c r="G30" s="79"/>
    </row>
    <row r="31" spans="1:9" x14ac:dyDescent="0.55000000000000004">
      <c r="A31" s="77"/>
      <c r="B31" s="36"/>
      <c r="C31" s="36"/>
      <c r="D31" s="78"/>
      <c r="E31" s="78"/>
      <c r="F31" s="78"/>
      <c r="G31" s="79"/>
    </row>
    <row r="32" spans="1:9" x14ac:dyDescent="0.55000000000000004">
      <c r="A32" s="77"/>
      <c r="B32" s="36"/>
      <c r="C32" s="36"/>
      <c r="D32" s="78"/>
      <c r="E32" s="78"/>
      <c r="F32" s="78"/>
      <c r="G32" s="79"/>
    </row>
    <row r="33" spans="1:7" x14ac:dyDescent="0.55000000000000004">
      <c r="A33" s="77"/>
      <c r="B33" s="36"/>
      <c r="C33" s="36"/>
      <c r="D33" s="78"/>
      <c r="E33" s="78"/>
      <c r="F33" s="78"/>
      <c r="G33" s="79"/>
    </row>
    <row r="34" spans="1:7" x14ac:dyDescent="0.55000000000000004">
      <c r="A34" s="77"/>
      <c r="B34" s="36"/>
      <c r="C34" s="36"/>
      <c r="D34" s="78"/>
      <c r="E34" s="78"/>
      <c r="F34" s="78"/>
      <c r="G34" s="79"/>
    </row>
    <row r="35" spans="1:7" x14ac:dyDescent="0.55000000000000004">
      <c r="A35" s="77"/>
      <c r="B35" s="36"/>
      <c r="C35" s="36"/>
      <c r="D35" s="78"/>
      <c r="E35" s="78"/>
      <c r="F35" s="78"/>
      <c r="G35" s="79"/>
    </row>
    <row r="36" spans="1:7" x14ac:dyDescent="0.55000000000000004">
      <c r="A36" s="77"/>
      <c r="B36" s="36"/>
      <c r="C36" s="36"/>
      <c r="D36" s="78"/>
      <c r="E36" s="78"/>
      <c r="F36" s="78"/>
      <c r="G36" s="79"/>
    </row>
    <row r="37" spans="1:7" x14ac:dyDescent="0.55000000000000004">
      <c r="A37" s="77"/>
      <c r="B37" s="36"/>
      <c r="C37" s="36"/>
      <c r="D37" s="78"/>
      <c r="E37" s="78"/>
      <c r="F37" s="78"/>
      <c r="G37" s="79"/>
    </row>
    <row r="38" spans="1:7" x14ac:dyDescent="0.55000000000000004">
      <c r="A38" s="77"/>
      <c r="B38" s="36"/>
      <c r="C38" s="36"/>
      <c r="D38" s="78"/>
      <c r="E38" s="78"/>
      <c r="F38" s="78"/>
      <c r="G38" s="79"/>
    </row>
    <row r="39" spans="1:7" x14ac:dyDescent="0.55000000000000004">
      <c r="A39" s="77"/>
      <c r="B39" s="36"/>
      <c r="C39" s="36"/>
      <c r="D39" s="78"/>
      <c r="E39" s="78"/>
      <c r="F39" s="78"/>
      <c r="G39" s="79"/>
    </row>
    <row r="40" spans="1:7" x14ac:dyDescent="0.55000000000000004">
      <c r="A40" s="77"/>
      <c r="B40" s="36"/>
      <c r="C40" s="36"/>
      <c r="D40" s="78"/>
      <c r="E40" s="78"/>
      <c r="F40" s="78"/>
      <c r="G40" s="79"/>
    </row>
    <row r="41" spans="1:7" x14ac:dyDescent="0.55000000000000004">
      <c r="A41" s="77"/>
      <c r="B41" s="36"/>
      <c r="C41" s="36"/>
      <c r="D41" s="78"/>
      <c r="E41" s="78"/>
      <c r="F41" s="78"/>
      <c r="G41" s="79"/>
    </row>
    <row r="42" spans="1:7" x14ac:dyDescent="0.55000000000000004">
      <c r="A42" s="77"/>
      <c r="B42" s="36"/>
      <c r="C42" s="36"/>
      <c r="D42" s="78"/>
      <c r="E42" s="78"/>
      <c r="F42" s="78"/>
      <c r="G42" s="79"/>
    </row>
    <row r="43" spans="1:7" x14ac:dyDescent="0.55000000000000004">
      <c r="A43" s="77"/>
      <c r="B43" s="36"/>
      <c r="C43" s="36"/>
      <c r="D43" s="78"/>
      <c r="E43" s="78"/>
      <c r="F43" s="78"/>
      <c r="G43" s="79"/>
    </row>
    <row r="44" spans="1:7" x14ac:dyDescent="0.55000000000000004">
      <c r="A44" s="77"/>
      <c r="B44" s="36"/>
      <c r="C44" s="36"/>
      <c r="D44" s="78"/>
      <c r="E44" s="78"/>
      <c r="F44" s="78"/>
      <c r="G44" s="79"/>
    </row>
    <row r="45" spans="1:7" x14ac:dyDescent="0.55000000000000004">
      <c r="A45" s="77"/>
      <c r="B45" s="36"/>
      <c r="C45" s="36"/>
      <c r="D45" s="78"/>
      <c r="E45" s="78"/>
      <c r="F45" s="78"/>
      <c r="G45" s="79"/>
    </row>
    <row r="46" spans="1:7" x14ac:dyDescent="0.55000000000000004">
      <c r="A46" s="77"/>
      <c r="B46" s="36"/>
      <c r="C46" s="36"/>
      <c r="D46" s="78"/>
      <c r="E46" s="78"/>
      <c r="F46" s="78"/>
      <c r="G46" s="79"/>
    </row>
    <row r="47" spans="1:7" x14ac:dyDescent="0.55000000000000004">
      <c r="A47" s="77"/>
      <c r="B47" s="36"/>
      <c r="C47" s="36"/>
      <c r="D47" s="78"/>
      <c r="E47" s="78"/>
      <c r="F47" s="78"/>
      <c r="G47" s="79"/>
    </row>
  </sheetData>
  <mergeCells count="10">
    <mergeCell ref="A1:G1"/>
    <mergeCell ref="A2:G2"/>
    <mergeCell ref="A3:G3"/>
    <mergeCell ref="G4:G5"/>
    <mergeCell ref="A4:A5"/>
    <mergeCell ref="B4:B5"/>
    <mergeCell ref="C4:C5"/>
    <mergeCell ref="D4:D5"/>
    <mergeCell ref="E4:E5"/>
    <mergeCell ref="F4:F5"/>
  </mergeCells>
  <printOptions horizontalCentered="1"/>
  <pageMargins left="7.874015748031496E-2" right="7.874015748031496E-2" top="0.59055118110236227" bottom="0.62992125984251968" header="0.51181102362204722" footer="0.51181102362204722"/>
  <pageSetup paperSize="9" orientation="landscape" horizontalDpi="180" verticalDpi="18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S47"/>
  <sheetViews>
    <sheetView topLeftCell="A4" zoomScale="90" workbookViewId="0">
      <selection activeCell="G9" sqref="G9"/>
    </sheetView>
  </sheetViews>
  <sheetFormatPr defaultColWidth="13" defaultRowHeight="24" x14ac:dyDescent="0.55000000000000004"/>
  <cols>
    <col min="1" max="1" width="16.28515625" style="17" customWidth="1"/>
    <col min="2" max="2" width="20.5703125" style="17" bestFit="1" customWidth="1"/>
    <col min="3" max="3" width="31.140625" style="17" customWidth="1"/>
    <col min="4" max="4" width="21.7109375" style="17" customWidth="1"/>
    <col min="5" max="5" width="28.42578125" style="17" customWidth="1"/>
    <col min="6" max="6" width="25.5703125" style="17" customWidth="1"/>
    <col min="7" max="7" width="21.7109375" style="17" customWidth="1"/>
    <col min="8" max="8" width="15.7109375" style="17" customWidth="1"/>
    <col min="9" max="9" width="13" style="17" customWidth="1"/>
    <col min="10" max="10" width="13.28515625" style="17" customWidth="1"/>
    <col min="11" max="11" width="12" style="17" customWidth="1"/>
    <col min="12" max="13" width="14.28515625" style="17" customWidth="1"/>
    <col min="14" max="14" width="15.85546875" style="17" customWidth="1"/>
    <col min="15" max="15" width="13" style="17" customWidth="1"/>
    <col min="16" max="16" width="15.28515625" style="17" customWidth="1"/>
    <col min="17" max="17" width="13.7109375" style="17" customWidth="1"/>
    <col min="18" max="18" width="12.42578125" style="17" customWidth="1"/>
    <col min="19" max="19" width="11.85546875" style="17" customWidth="1"/>
    <col min="20" max="20" width="14.28515625" style="17" customWidth="1"/>
    <col min="21" max="16384" width="13" style="17"/>
  </cols>
  <sheetData>
    <row r="1" spans="1:19" x14ac:dyDescent="0.55000000000000004">
      <c r="A1" s="259" t="s">
        <v>30</v>
      </c>
      <c r="B1" s="259"/>
      <c r="C1" s="259"/>
      <c r="D1" s="259"/>
      <c r="E1" s="259"/>
      <c r="F1" s="259"/>
      <c r="G1" s="25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55000000000000004">
      <c r="A2" s="259" t="s">
        <v>288</v>
      </c>
      <c r="B2" s="259"/>
      <c r="C2" s="259"/>
      <c r="D2" s="259"/>
      <c r="E2" s="259"/>
      <c r="F2" s="259"/>
      <c r="G2" s="25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286</v>
      </c>
      <c r="F4" s="286" t="s">
        <v>287</v>
      </c>
      <c r="G4" s="286" t="s">
        <v>9</v>
      </c>
    </row>
    <row r="5" spans="1:19" x14ac:dyDescent="0.55000000000000004">
      <c r="A5" s="287"/>
      <c r="B5" s="285"/>
      <c r="C5" s="287"/>
      <c r="D5" s="287"/>
      <c r="E5" s="287"/>
      <c r="F5" s="287"/>
      <c r="G5" s="287"/>
    </row>
    <row r="6" spans="1:19" x14ac:dyDescent="0.55000000000000004">
      <c r="A6" s="110"/>
      <c r="B6" s="110"/>
      <c r="C6" s="110"/>
      <c r="D6" s="110"/>
      <c r="E6" s="110"/>
      <c r="F6" s="110"/>
      <c r="G6" s="110"/>
    </row>
    <row r="7" spans="1:19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v>0</v>
      </c>
      <c r="G7" s="73">
        <f t="shared" ref="G7:G12" si="0">SUM(E7:F7)</f>
        <v>0</v>
      </c>
      <c r="H7" s="67"/>
    </row>
    <row r="8" spans="1:19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v>0</v>
      </c>
      <c r="G8" s="73">
        <f t="shared" si="0"/>
        <v>0</v>
      </c>
    </row>
    <row r="9" spans="1:19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2">
        <v>0</v>
      </c>
      <c r="G9" s="73">
        <f t="shared" si="0"/>
        <v>0</v>
      </c>
    </row>
    <row r="10" spans="1:19" x14ac:dyDescent="0.55000000000000004">
      <c r="A10" s="147" t="s">
        <v>20</v>
      </c>
      <c r="B10" s="151" t="s">
        <v>26</v>
      </c>
      <c r="C10" s="147" t="s">
        <v>234</v>
      </c>
      <c r="D10" s="146">
        <v>0</v>
      </c>
      <c r="E10" s="146">
        <v>0</v>
      </c>
      <c r="F10" s="146">
        <v>0</v>
      </c>
      <c r="G10" s="73">
        <f t="shared" si="0"/>
        <v>0</v>
      </c>
    </row>
    <row r="11" spans="1:19" x14ac:dyDescent="0.55000000000000004">
      <c r="A11" s="147"/>
      <c r="B11" s="151" t="s">
        <v>26</v>
      </c>
      <c r="C11" s="147" t="s">
        <v>292</v>
      </c>
      <c r="D11" s="146"/>
      <c r="E11" s="146"/>
      <c r="F11" s="146"/>
      <c r="G11" s="73">
        <f t="shared" si="0"/>
        <v>0</v>
      </c>
    </row>
    <row r="12" spans="1:19" x14ac:dyDescent="0.55000000000000004">
      <c r="A12" s="147"/>
      <c r="B12" s="147" t="s">
        <v>27</v>
      </c>
      <c r="C12" s="147" t="s">
        <v>234</v>
      </c>
      <c r="D12" s="146">
        <v>0</v>
      </c>
      <c r="E12" s="146">
        <v>0</v>
      </c>
      <c r="F12" s="146">
        <v>0</v>
      </c>
      <c r="G12" s="73">
        <f t="shared" si="0"/>
        <v>0</v>
      </c>
      <c r="H12" s="67"/>
    </row>
    <row r="13" spans="1:19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146">
        <v>0</v>
      </c>
      <c r="G13" s="73">
        <f t="shared" ref="G13:G20" si="1">SUM(E13:F13)</f>
        <v>0</v>
      </c>
    </row>
    <row r="14" spans="1:19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146">
        <v>0</v>
      </c>
      <c r="F14" s="72">
        <v>0</v>
      </c>
      <c r="G14" s="73">
        <f t="shared" si="1"/>
        <v>0</v>
      </c>
    </row>
    <row r="15" spans="1:19" x14ac:dyDescent="0.55000000000000004">
      <c r="A15" s="147"/>
      <c r="B15" s="147" t="s">
        <v>52</v>
      </c>
      <c r="C15" s="147" t="s">
        <v>234</v>
      </c>
      <c r="D15" s="72">
        <v>0</v>
      </c>
      <c r="E15" s="146">
        <v>0</v>
      </c>
      <c r="F15" s="73">
        <v>0</v>
      </c>
      <c r="G15" s="73">
        <f t="shared" si="1"/>
        <v>0</v>
      </c>
      <c r="H15" s="70"/>
      <c r="I15" s="13"/>
    </row>
    <row r="16" spans="1:19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v>0</v>
      </c>
      <c r="G16" s="73">
        <f t="shared" si="1"/>
        <v>0</v>
      </c>
      <c r="H16" s="158"/>
      <c r="I16" s="13"/>
    </row>
    <row r="17" spans="1:9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146">
        <v>0</v>
      </c>
      <c r="F17" s="73">
        <v>0</v>
      </c>
      <c r="G17" s="73">
        <f t="shared" si="1"/>
        <v>0</v>
      </c>
      <c r="H17" s="70"/>
      <c r="I17" s="13"/>
    </row>
    <row r="18" spans="1:9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146">
        <v>0</v>
      </c>
      <c r="F18" s="73">
        <v>0</v>
      </c>
      <c r="G18" s="73">
        <f t="shared" si="1"/>
        <v>0</v>
      </c>
      <c r="H18" s="70"/>
      <c r="I18" s="13"/>
    </row>
    <row r="19" spans="1:9" x14ac:dyDescent="0.55000000000000004">
      <c r="A19" s="147" t="s">
        <v>23</v>
      </c>
      <c r="B19" s="147" t="s">
        <v>23</v>
      </c>
      <c r="C19" s="147" t="s">
        <v>234</v>
      </c>
      <c r="D19" s="69">
        <v>0</v>
      </c>
      <c r="E19" s="146">
        <v>0</v>
      </c>
      <c r="F19" s="69">
        <v>0</v>
      </c>
      <c r="G19" s="73">
        <f t="shared" si="1"/>
        <v>0</v>
      </c>
      <c r="H19" s="70"/>
      <c r="I19" s="13"/>
    </row>
    <row r="20" spans="1:9" x14ac:dyDescent="0.55000000000000004">
      <c r="A20" s="10"/>
      <c r="B20" s="147" t="s">
        <v>23</v>
      </c>
      <c r="C20" s="147" t="s">
        <v>292</v>
      </c>
      <c r="D20" s="72">
        <v>0</v>
      </c>
      <c r="E20" s="72">
        <v>0</v>
      </c>
      <c r="F20" s="73">
        <v>0</v>
      </c>
      <c r="G20" s="73">
        <f t="shared" si="1"/>
        <v>0</v>
      </c>
      <c r="H20" s="158"/>
      <c r="I20" s="13"/>
    </row>
    <row r="21" spans="1:9" x14ac:dyDescent="0.55000000000000004">
      <c r="A21" s="148"/>
      <c r="B21" s="147"/>
      <c r="C21" s="147"/>
      <c r="D21" s="72"/>
      <c r="E21" s="72"/>
      <c r="F21" s="73"/>
      <c r="G21" s="73"/>
      <c r="H21" s="70"/>
      <c r="I21" s="13"/>
    </row>
    <row r="22" spans="1:9" x14ac:dyDescent="0.55000000000000004">
      <c r="A22" s="148"/>
      <c r="B22" s="147"/>
      <c r="C22" s="147"/>
      <c r="D22" s="72"/>
      <c r="E22" s="72"/>
      <c r="F22" s="73"/>
      <c r="G22" s="73"/>
      <c r="H22" s="70"/>
      <c r="I22" s="13"/>
    </row>
    <row r="23" spans="1:9" x14ac:dyDescent="0.55000000000000004">
      <c r="A23" s="149"/>
      <c r="B23" s="152"/>
      <c r="C23" s="152"/>
      <c r="D23" s="150"/>
      <c r="E23" s="150"/>
      <c r="F23" s="153"/>
      <c r="G23" s="153"/>
      <c r="H23" s="70"/>
      <c r="I23" s="13"/>
    </row>
    <row r="24" spans="1:9" ht="24.75" thickBot="1" x14ac:dyDescent="0.6">
      <c r="A24" s="124"/>
      <c r="B24" s="123" t="s">
        <v>9</v>
      </c>
      <c r="C24" s="123"/>
      <c r="D24" s="74">
        <f>SUM(D7:D23)</f>
        <v>0</v>
      </c>
      <c r="E24" s="75">
        <f>SUM(E7:E23)</f>
        <v>0</v>
      </c>
      <c r="F24" s="74">
        <f>SUM(F7:F23)</f>
        <v>0</v>
      </c>
      <c r="G24" s="76">
        <f>SUM(G7:G23)</f>
        <v>0</v>
      </c>
    </row>
    <row r="25" spans="1:9" ht="24.75" thickTop="1" x14ac:dyDescent="0.55000000000000004">
      <c r="A25" s="77"/>
      <c r="B25" s="36"/>
      <c r="C25" s="36"/>
      <c r="D25" s="78"/>
      <c r="E25" s="78"/>
      <c r="F25" s="78"/>
      <c r="G25" s="79"/>
    </row>
    <row r="26" spans="1:9" x14ac:dyDescent="0.55000000000000004">
      <c r="A26" s="77"/>
      <c r="B26" s="36"/>
      <c r="C26" s="36"/>
      <c r="D26" s="78"/>
      <c r="E26" s="78"/>
      <c r="F26" s="78"/>
      <c r="G26" s="79"/>
    </row>
    <row r="27" spans="1:9" x14ac:dyDescent="0.55000000000000004">
      <c r="A27" s="77"/>
      <c r="B27" s="36"/>
      <c r="C27" s="36"/>
      <c r="D27" s="78"/>
      <c r="E27" s="78"/>
      <c r="F27" s="78"/>
      <c r="G27" s="79"/>
    </row>
    <row r="28" spans="1:9" x14ac:dyDescent="0.55000000000000004">
      <c r="A28" s="77"/>
      <c r="B28" s="36"/>
      <c r="C28" s="36"/>
      <c r="D28" s="78"/>
      <c r="E28" s="78"/>
      <c r="F28" s="78"/>
      <c r="G28" s="79"/>
    </row>
    <row r="29" spans="1:9" x14ac:dyDescent="0.55000000000000004">
      <c r="A29" s="77"/>
      <c r="B29" s="36"/>
      <c r="C29" s="36"/>
      <c r="D29" s="78"/>
      <c r="E29" s="78"/>
      <c r="F29" s="78"/>
      <c r="G29" s="79"/>
    </row>
    <row r="30" spans="1:9" x14ac:dyDescent="0.55000000000000004">
      <c r="A30" s="77"/>
      <c r="B30" s="36"/>
      <c r="C30" s="36"/>
      <c r="D30" s="78"/>
      <c r="E30" s="78"/>
      <c r="F30" s="78"/>
      <c r="G30" s="79"/>
    </row>
    <row r="31" spans="1:9" x14ac:dyDescent="0.55000000000000004">
      <c r="A31" s="77"/>
      <c r="B31" s="36"/>
      <c r="C31" s="36"/>
      <c r="D31" s="78"/>
      <c r="E31" s="78"/>
      <c r="F31" s="78"/>
      <c r="G31" s="79"/>
    </row>
    <row r="32" spans="1:9" x14ac:dyDescent="0.55000000000000004">
      <c r="A32" s="77"/>
      <c r="B32" s="36"/>
      <c r="C32" s="36"/>
      <c r="D32" s="78"/>
      <c r="E32" s="78"/>
      <c r="F32" s="78"/>
      <c r="G32" s="79"/>
    </row>
    <row r="33" spans="1:7" x14ac:dyDescent="0.55000000000000004">
      <c r="A33" s="77"/>
      <c r="B33" s="36"/>
      <c r="C33" s="36"/>
      <c r="D33" s="78"/>
      <c r="E33" s="78"/>
      <c r="F33" s="78"/>
      <c r="G33" s="79"/>
    </row>
    <row r="34" spans="1:7" x14ac:dyDescent="0.55000000000000004">
      <c r="A34" s="77"/>
      <c r="B34" s="36"/>
      <c r="C34" s="36"/>
      <c r="D34" s="78"/>
      <c r="E34" s="78"/>
      <c r="F34" s="78"/>
      <c r="G34" s="79"/>
    </row>
    <row r="35" spans="1:7" x14ac:dyDescent="0.55000000000000004">
      <c r="A35" s="77"/>
      <c r="B35" s="36"/>
      <c r="C35" s="36"/>
      <c r="D35" s="78"/>
      <c r="E35" s="78"/>
      <c r="F35" s="78"/>
      <c r="G35" s="79"/>
    </row>
    <row r="36" spans="1:7" x14ac:dyDescent="0.55000000000000004">
      <c r="A36" s="77"/>
      <c r="B36" s="36"/>
      <c r="C36" s="36"/>
      <c r="D36" s="78"/>
      <c r="E36" s="78"/>
      <c r="F36" s="78"/>
      <c r="G36" s="79"/>
    </row>
    <row r="37" spans="1:7" x14ac:dyDescent="0.55000000000000004">
      <c r="A37" s="77"/>
      <c r="B37" s="36"/>
      <c r="C37" s="36"/>
      <c r="D37" s="78"/>
      <c r="E37" s="78"/>
      <c r="F37" s="78"/>
      <c r="G37" s="79"/>
    </row>
    <row r="38" spans="1:7" x14ac:dyDescent="0.55000000000000004">
      <c r="A38" s="77"/>
      <c r="B38" s="36"/>
      <c r="C38" s="36"/>
      <c r="D38" s="78"/>
      <c r="E38" s="78"/>
      <c r="F38" s="78"/>
      <c r="G38" s="79"/>
    </row>
    <row r="39" spans="1:7" x14ac:dyDescent="0.55000000000000004">
      <c r="A39" s="77"/>
      <c r="B39" s="36"/>
      <c r="C39" s="36"/>
      <c r="D39" s="78"/>
      <c r="E39" s="78"/>
      <c r="F39" s="78"/>
      <c r="G39" s="79"/>
    </row>
    <row r="40" spans="1:7" x14ac:dyDescent="0.55000000000000004">
      <c r="A40" s="77"/>
      <c r="B40" s="36"/>
      <c r="C40" s="36"/>
      <c r="D40" s="78"/>
      <c r="E40" s="78"/>
      <c r="F40" s="78"/>
      <c r="G40" s="79"/>
    </row>
    <row r="41" spans="1:7" x14ac:dyDescent="0.55000000000000004">
      <c r="A41" s="77"/>
      <c r="B41" s="36"/>
      <c r="C41" s="36"/>
      <c r="D41" s="78"/>
      <c r="E41" s="78"/>
      <c r="F41" s="78"/>
      <c r="G41" s="79"/>
    </row>
    <row r="42" spans="1:7" x14ac:dyDescent="0.55000000000000004">
      <c r="A42" s="77"/>
      <c r="B42" s="36"/>
      <c r="C42" s="36"/>
      <c r="D42" s="78"/>
      <c r="E42" s="78"/>
      <c r="F42" s="78"/>
      <c r="G42" s="79"/>
    </row>
    <row r="43" spans="1:7" x14ac:dyDescent="0.55000000000000004">
      <c r="A43" s="77"/>
      <c r="B43" s="36"/>
      <c r="C43" s="36"/>
      <c r="D43" s="78"/>
      <c r="E43" s="78"/>
      <c r="F43" s="78"/>
      <c r="G43" s="79"/>
    </row>
    <row r="44" spans="1:7" x14ac:dyDescent="0.55000000000000004">
      <c r="A44" s="77"/>
      <c r="B44" s="36"/>
      <c r="C44" s="36"/>
      <c r="D44" s="78"/>
      <c r="E44" s="78"/>
      <c r="F44" s="78"/>
      <c r="G44" s="79"/>
    </row>
    <row r="45" spans="1:7" x14ac:dyDescent="0.55000000000000004">
      <c r="A45" s="77"/>
      <c r="B45" s="36"/>
      <c r="C45" s="36"/>
      <c r="D45" s="78"/>
      <c r="E45" s="78"/>
      <c r="F45" s="78"/>
      <c r="G45" s="79"/>
    </row>
    <row r="46" spans="1:7" x14ac:dyDescent="0.55000000000000004">
      <c r="A46" s="77"/>
      <c r="B46" s="36"/>
      <c r="C46" s="36"/>
      <c r="D46" s="78"/>
      <c r="E46" s="78"/>
      <c r="F46" s="78"/>
      <c r="G46" s="79"/>
    </row>
    <row r="47" spans="1:7" x14ac:dyDescent="0.55000000000000004">
      <c r="A47" s="77"/>
      <c r="B47" s="36"/>
      <c r="C47" s="36"/>
      <c r="D47" s="78"/>
      <c r="E47" s="78"/>
      <c r="F47" s="78"/>
      <c r="G47" s="79"/>
    </row>
  </sheetData>
  <mergeCells count="10">
    <mergeCell ref="A1:G1"/>
    <mergeCell ref="A2:G2"/>
    <mergeCell ref="A3:G3"/>
    <mergeCell ref="A4:A5"/>
    <mergeCell ref="B4:B5"/>
    <mergeCell ref="F4:F5"/>
    <mergeCell ref="G4:G5"/>
    <mergeCell ref="C4:C5"/>
    <mergeCell ref="D4:D5"/>
    <mergeCell ref="E4:E5"/>
  </mergeCells>
  <phoneticPr fontId="8" type="noConversion"/>
  <printOptions horizontalCentered="1"/>
  <pageMargins left="0.11811023622047245" right="0.11811023622047245" top="0.62992125984251968" bottom="0.74803149606299213" header="0.51181102362204722" footer="0.51181102362204722"/>
  <pageSetup paperSize="9" orientation="landscape" horizontalDpi="180" verticalDpi="18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R47"/>
  <sheetViews>
    <sheetView zoomScale="90" zoomScaleNormal="90" workbookViewId="0">
      <selection activeCell="E21" sqref="E21"/>
    </sheetView>
  </sheetViews>
  <sheetFormatPr defaultColWidth="13" defaultRowHeight="24" x14ac:dyDescent="0.55000000000000004"/>
  <cols>
    <col min="1" max="1" width="19.42578125" style="17" customWidth="1"/>
    <col min="2" max="2" width="21.85546875" style="17" customWidth="1"/>
    <col min="3" max="3" width="34.85546875" style="17" customWidth="1"/>
    <col min="4" max="4" width="21.7109375" style="17" customWidth="1"/>
    <col min="5" max="5" width="25.5703125" style="17" customWidth="1"/>
    <col min="6" max="6" width="21.7109375" style="17" customWidth="1"/>
    <col min="7" max="7" width="51" style="17" customWidth="1"/>
    <col min="8" max="8" width="13" style="17" customWidth="1"/>
    <col min="9" max="9" width="13.28515625" style="17" customWidth="1"/>
    <col min="10" max="10" width="12" style="17" customWidth="1"/>
    <col min="11" max="12" width="14.28515625" style="17" customWidth="1"/>
    <col min="13" max="13" width="15.85546875" style="17" customWidth="1"/>
    <col min="14" max="14" width="13" style="17" customWidth="1"/>
    <col min="15" max="15" width="15.28515625" style="17" customWidth="1"/>
    <col min="16" max="16" width="13.7109375" style="17" customWidth="1"/>
    <col min="17" max="17" width="12.42578125" style="17" customWidth="1"/>
    <col min="18" max="18" width="11.85546875" style="17" customWidth="1"/>
    <col min="19" max="19" width="14.28515625" style="17" customWidth="1"/>
    <col min="20" max="16384" width="13" style="17"/>
  </cols>
  <sheetData>
    <row r="1" spans="1:18" x14ac:dyDescent="0.55000000000000004">
      <c r="A1" s="259" t="s">
        <v>30</v>
      </c>
      <c r="B1" s="259"/>
      <c r="C1" s="259"/>
      <c r="D1" s="259"/>
      <c r="E1" s="259"/>
      <c r="F1" s="259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55000000000000004">
      <c r="A2" s="259" t="s">
        <v>157</v>
      </c>
      <c r="B2" s="259"/>
      <c r="C2" s="259"/>
      <c r="D2" s="259"/>
      <c r="E2" s="259"/>
      <c r="F2" s="25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x14ac:dyDescent="0.55000000000000004">
      <c r="A4" s="286" t="s">
        <v>256</v>
      </c>
      <c r="B4" s="284" t="s">
        <v>231</v>
      </c>
      <c r="C4" s="286" t="s">
        <v>228</v>
      </c>
      <c r="D4" s="286" t="s">
        <v>22</v>
      </c>
      <c r="E4" s="286" t="s">
        <v>23</v>
      </c>
      <c r="F4" s="286" t="s">
        <v>9</v>
      </c>
    </row>
    <row r="5" spans="1:18" x14ac:dyDescent="0.55000000000000004">
      <c r="A5" s="287"/>
      <c r="B5" s="285"/>
      <c r="C5" s="287"/>
      <c r="D5" s="287"/>
      <c r="E5" s="287"/>
      <c r="F5" s="287"/>
    </row>
    <row r="6" spans="1:18" x14ac:dyDescent="0.55000000000000004">
      <c r="A6" s="110"/>
      <c r="B6" s="110"/>
      <c r="C6" s="110"/>
      <c r="D6" s="110"/>
      <c r="E6" s="110"/>
      <c r="F6" s="110"/>
    </row>
    <row r="7" spans="1:18" x14ac:dyDescent="0.55000000000000004">
      <c r="A7" s="147" t="s">
        <v>257</v>
      </c>
      <c r="B7" s="147" t="s">
        <v>144</v>
      </c>
      <c r="C7" s="147" t="s">
        <v>234</v>
      </c>
      <c r="D7" s="72">
        <v>0</v>
      </c>
      <c r="E7" s="73">
        <v>0</v>
      </c>
      <c r="F7" s="73">
        <f>SUM(E7)</f>
        <v>0</v>
      </c>
      <c r="G7" s="67"/>
    </row>
    <row r="8" spans="1:18" x14ac:dyDescent="0.55000000000000004">
      <c r="A8" s="147"/>
      <c r="B8" s="147" t="s">
        <v>145</v>
      </c>
      <c r="C8" s="147" t="s">
        <v>234</v>
      </c>
      <c r="D8" s="72">
        <v>0</v>
      </c>
      <c r="E8" s="73">
        <v>0</v>
      </c>
      <c r="F8" s="73">
        <f t="shared" ref="F8:F20" si="0">SUM(E8)</f>
        <v>0</v>
      </c>
    </row>
    <row r="9" spans="1:18" x14ac:dyDescent="0.55000000000000004">
      <c r="A9" s="147" t="s">
        <v>258</v>
      </c>
      <c r="B9" s="10" t="s">
        <v>25</v>
      </c>
      <c r="C9" s="147" t="s">
        <v>234</v>
      </c>
      <c r="D9" s="72">
        <v>0</v>
      </c>
      <c r="E9" s="72">
        <v>0</v>
      </c>
      <c r="F9" s="73">
        <f t="shared" si="0"/>
        <v>0</v>
      </c>
    </row>
    <row r="10" spans="1:18" x14ac:dyDescent="0.55000000000000004">
      <c r="A10" s="147" t="s">
        <v>20</v>
      </c>
      <c r="B10" s="151" t="s">
        <v>26</v>
      </c>
      <c r="C10" s="147" t="s">
        <v>234</v>
      </c>
      <c r="D10" s="146">
        <v>0</v>
      </c>
      <c r="E10" s="146">
        <v>0</v>
      </c>
      <c r="F10" s="73">
        <f t="shared" si="0"/>
        <v>0</v>
      </c>
    </row>
    <row r="11" spans="1:18" x14ac:dyDescent="0.55000000000000004">
      <c r="A11" s="147"/>
      <c r="B11" s="151" t="s">
        <v>26</v>
      </c>
      <c r="C11" s="147" t="s">
        <v>292</v>
      </c>
      <c r="D11" s="146"/>
      <c r="E11" s="146"/>
      <c r="F11" s="73">
        <f t="shared" si="0"/>
        <v>0</v>
      </c>
    </row>
    <row r="12" spans="1:18" x14ac:dyDescent="0.55000000000000004">
      <c r="A12" s="147"/>
      <c r="B12" s="147" t="s">
        <v>27</v>
      </c>
      <c r="C12" s="147" t="s">
        <v>234</v>
      </c>
      <c r="D12" s="146">
        <v>0</v>
      </c>
      <c r="E12" s="146">
        <v>0</v>
      </c>
      <c r="F12" s="73">
        <f t="shared" si="0"/>
        <v>0</v>
      </c>
      <c r="G12" s="67"/>
    </row>
    <row r="13" spans="1:18" x14ac:dyDescent="0.55000000000000004">
      <c r="A13" s="147"/>
      <c r="B13" s="147" t="s">
        <v>28</v>
      </c>
      <c r="C13" s="147" t="s">
        <v>234</v>
      </c>
      <c r="D13" s="146">
        <v>0</v>
      </c>
      <c r="E13" s="146">
        <v>0</v>
      </c>
      <c r="F13" s="73">
        <f t="shared" si="0"/>
        <v>0</v>
      </c>
    </row>
    <row r="14" spans="1:18" x14ac:dyDescent="0.55000000000000004">
      <c r="A14" s="147" t="s">
        <v>259</v>
      </c>
      <c r="B14" s="147" t="s">
        <v>349</v>
      </c>
      <c r="C14" s="147" t="s">
        <v>234</v>
      </c>
      <c r="D14" s="72">
        <v>0</v>
      </c>
      <c r="E14" s="72">
        <v>0</v>
      </c>
      <c r="F14" s="73">
        <f t="shared" si="0"/>
        <v>0</v>
      </c>
    </row>
    <row r="15" spans="1:18" x14ac:dyDescent="0.55000000000000004">
      <c r="A15" s="147"/>
      <c r="B15" s="147" t="s">
        <v>52</v>
      </c>
      <c r="C15" s="147" t="s">
        <v>234</v>
      </c>
      <c r="D15" s="72">
        <v>0</v>
      </c>
      <c r="E15" s="73">
        <v>0</v>
      </c>
      <c r="F15" s="73">
        <f t="shared" si="0"/>
        <v>0</v>
      </c>
      <c r="G15" s="70"/>
      <c r="H15" s="13"/>
      <c r="I15" s="13"/>
      <c r="J15" s="13"/>
    </row>
    <row r="16" spans="1:18" x14ac:dyDescent="0.55000000000000004">
      <c r="A16" s="147"/>
      <c r="B16" s="147" t="s">
        <v>52</v>
      </c>
      <c r="C16" s="147" t="s">
        <v>292</v>
      </c>
      <c r="D16" s="72">
        <v>0</v>
      </c>
      <c r="E16" s="73">
        <v>0</v>
      </c>
      <c r="F16" s="73">
        <f t="shared" si="0"/>
        <v>0</v>
      </c>
      <c r="G16" s="158"/>
      <c r="H16" s="79"/>
      <c r="I16" s="13"/>
      <c r="J16" s="13"/>
    </row>
    <row r="17" spans="1:10" x14ac:dyDescent="0.55000000000000004">
      <c r="A17" s="147" t="s">
        <v>260</v>
      </c>
      <c r="B17" s="10" t="s">
        <v>56</v>
      </c>
      <c r="C17" s="147" t="s">
        <v>234</v>
      </c>
      <c r="D17" s="73">
        <v>0</v>
      </c>
      <c r="E17" s="73">
        <v>0</v>
      </c>
      <c r="F17" s="73">
        <f t="shared" si="0"/>
        <v>0</v>
      </c>
      <c r="G17" s="70"/>
      <c r="H17" s="13"/>
      <c r="I17" s="13"/>
      <c r="J17" s="13"/>
    </row>
    <row r="18" spans="1:10" x14ac:dyDescent="0.55000000000000004">
      <c r="A18" s="147" t="s">
        <v>261</v>
      </c>
      <c r="B18" s="10" t="s">
        <v>29</v>
      </c>
      <c r="C18" s="147" t="s">
        <v>234</v>
      </c>
      <c r="D18" s="73">
        <v>0</v>
      </c>
      <c r="E18" s="73">
        <v>0</v>
      </c>
      <c r="F18" s="73">
        <f t="shared" si="0"/>
        <v>0</v>
      </c>
      <c r="G18" s="70"/>
      <c r="H18" s="13"/>
      <c r="I18" s="13"/>
      <c r="J18" s="13"/>
    </row>
    <row r="19" spans="1:10" x14ac:dyDescent="0.55000000000000004">
      <c r="A19" s="147" t="s">
        <v>23</v>
      </c>
      <c r="B19" s="147" t="s">
        <v>23</v>
      </c>
      <c r="C19" s="147" t="s">
        <v>234</v>
      </c>
      <c r="D19" s="69">
        <f>3602000+110000-283000</f>
        <v>3429000</v>
      </c>
      <c r="E19" s="69">
        <v>3150598.66</v>
      </c>
      <c r="F19" s="73">
        <f t="shared" si="0"/>
        <v>3150598.66</v>
      </c>
      <c r="G19" s="70"/>
      <c r="H19" s="13"/>
      <c r="I19" s="13"/>
      <c r="J19" s="13"/>
    </row>
    <row r="20" spans="1:10" x14ac:dyDescent="0.55000000000000004">
      <c r="A20" s="10"/>
      <c r="B20" s="147" t="s">
        <v>23</v>
      </c>
      <c r="C20" s="147" t="s">
        <v>292</v>
      </c>
      <c r="D20" s="72">
        <v>0</v>
      </c>
      <c r="E20" s="72">
        <f>1466800+170400+2915300+545600</f>
        <v>5098100</v>
      </c>
      <c r="F20" s="73">
        <f t="shared" si="0"/>
        <v>5098100</v>
      </c>
      <c r="G20" s="158"/>
      <c r="H20" s="79"/>
      <c r="I20" s="13"/>
      <c r="J20" s="13"/>
    </row>
    <row r="21" spans="1:10" x14ac:dyDescent="0.55000000000000004">
      <c r="A21" s="148"/>
      <c r="B21" s="147"/>
      <c r="C21" s="147"/>
      <c r="D21" s="72"/>
      <c r="E21" s="73"/>
      <c r="F21" s="73"/>
      <c r="G21" s="70"/>
      <c r="H21" s="13"/>
      <c r="I21" s="13"/>
      <c r="J21" s="13"/>
    </row>
    <row r="22" spans="1:10" x14ac:dyDescent="0.55000000000000004">
      <c r="A22" s="148"/>
      <c r="B22" s="147"/>
      <c r="C22" s="147"/>
      <c r="D22" s="72"/>
      <c r="E22" s="73"/>
      <c r="F22" s="73"/>
      <c r="G22" s="70"/>
      <c r="H22" s="13"/>
      <c r="I22" s="13"/>
      <c r="J22" s="13"/>
    </row>
    <row r="23" spans="1:10" x14ac:dyDescent="0.55000000000000004">
      <c r="A23" s="149"/>
      <c r="B23" s="152"/>
      <c r="C23" s="152"/>
      <c r="D23" s="150"/>
      <c r="E23" s="153"/>
      <c r="F23" s="153"/>
      <c r="G23" s="70"/>
      <c r="H23" s="13"/>
      <c r="I23" s="13"/>
      <c r="J23" s="13"/>
    </row>
    <row r="24" spans="1:10" ht="24.75" thickBot="1" x14ac:dyDescent="0.6">
      <c r="A24" s="124"/>
      <c r="B24" s="123" t="s">
        <v>9</v>
      </c>
      <c r="C24" s="123"/>
      <c r="D24" s="74">
        <f>SUM(D7:D23)</f>
        <v>3429000</v>
      </c>
      <c r="E24" s="74">
        <f>SUM(E7:E23)</f>
        <v>8248698.6600000001</v>
      </c>
      <c r="F24" s="76">
        <f>SUM(F7:F23)</f>
        <v>8248698.6600000001</v>
      </c>
    </row>
    <row r="25" spans="1:10" ht="24.75" thickTop="1" x14ac:dyDescent="0.55000000000000004">
      <c r="A25" s="77"/>
      <c r="B25" s="36"/>
      <c r="C25" s="36"/>
      <c r="D25" s="78"/>
      <c r="E25" s="78"/>
      <c r="F25" s="79"/>
    </row>
    <row r="26" spans="1:10" x14ac:dyDescent="0.55000000000000004">
      <c r="A26" s="77"/>
      <c r="B26" s="36"/>
      <c r="C26" s="36"/>
      <c r="D26" s="78"/>
      <c r="E26" s="78"/>
      <c r="F26" s="79"/>
    </row>
    <row r="27" spans="1:10" x14ac:dyDescent="0.55000000000000004">
      <c r="A27" s="77"/>
      <c r="B27" s="36"/>
      <c r="C27" s="36"/>
      <c r="D27" s="78"/>
      <c r="E27" s="78"/>
      <c r="F27" s="79"/>
    </row>
    <row r="28" spans="1:10" x14ac:dyDescent="0.55000000000000004">
      <c r="A28" s="77"/>
      <c r="B28" s="36"/>
      <c r="C28" s="36"/>
      <c r="D28" s="78"/>
      <c r="E28" s="78"/>
      <c r="F28" s="79"/>
    </row>
    <row r="29" spans="1:10" x14ac:dyDescent="0.55000000000000004">
      <c r="A29" s="77"/>
      <c r="B29" s="36"/>
      <c r="C29" s="36"/>
      <c r="D29" s="78"/>
      <c r="E29" s="78"/>
      <c r="F29" s="79"/>
    </row>
    <row r="30" spans="1:10" x14ac:dyDescent="0.55000000000000004">
      <c r="A30" s="77"/>
      <c r="B30" s="36"/>
      <c r="C30" s="36"/>
      <c r="D30" s="78"/>
      <c r="E30" s="78"/>
      <c r="F30" s="79"/>
    </row>
    <row r="31" spans="1:10" x14ac:dyDescent="0.55000000000000004">
      <c r="A31" s="77"/>
      <c r="B31" s="36"/>
      <c r="C31" s="36"/>
      <c r="D31" s="78"/>
      <c r="E31" s="78"/>
      <c r="F31" s="79"/>
    </row>
    <row r="32" spans="1:10" x14ac:dyDescent="0.55000000000000004">
      <c r="A32" s="77"/>
      <c r="B32" s="36"/>
      <c r="C32" s="36"/>
      <c r="D32" s="78"/>
      <c r="E32" s="78"/>
      <c r="F32" s="79"/>
    </row>
    <row r="33" spans="1:6" x14ac:dyDescent="0.55000000000000004">
      <c r="A33" s="77"/>
      <c r="B33" s="36"/>
      <c r="C33" s="36"/>
      <c r="D33" s="78"/>
      <c r="E33" s="78"/>
      <c r="F33" s="79"/>
    </row>
    <row r="34" spans="1:6" x14ac:dyDescent="0.55000000000000004">
      <c r="A34" s="77"/>
      <c r="B34" s="36"/>
      <c r="C34" s="36"/>
      <c r="D34" s="78"/>
      <c r="E34" s="78"/>
      <c r="F34" s="79"/>
    </row>
    <row r="35" spans="1:6" x14ac:dyDescent="0.55000000000000004">
      <c r="A35" s="77"/>
      <c r="B35" s="36"/>
      <c r="C35" s="36"/>
      <c r="D35" s="78"/>
      <c r="E35" s="78"/>
      <c r="F35" s="79"/>
    </row>
    <row r="36" spans="1:6" x14ac:dyDescent="0.55000000000000004">
      <c r="A36" s="77"/>
      <c r="B36" s="36"/>
      <c r="C36" s="36"/>
      <c r="D36" s="78"/>
      <c r="E36" s="78"/>
      <c r="F36" s="79"/>
    </row>
    <row r="37" spans="1:6" x14ac:dyDescent="0.55000000000000004">
      <c r="A37" s="77"/>
      <c r="B37" s="36"/>
      <c r="C37" s="36"/>
      <c r="D37" s="78"/>
      <c r="E37" s="78"/>
      <c r="F37" s="79"/>
    </row>
    <row r="38" spans="1:6" x14ac:dyDescent="0.55000000000000004">
      <c r="A38" s="77"/>
      <c r="B38" s="36"/>
      <c r="C38" s="36"/>
      <c r="D38" s="78"/>
      <c r="E38" s="78"/>
      <c r="F38" s="79"/>
    </row>
    <row r="39" spans="1:6" x14ac:dyDescent="0.55000000000000004">
      <c r="A39" s="77"/>
      <c r="B39" s="36"/>
      <c r="C39" s="36"/>
      <c r="D39" s="78"/>
      <c r="E39" s="78"/>
      <c r="F39" s="79"/>
    </row>
    <row r="40" spans="1:6" x14ac:dyDescent="0.55000000000000004">
      <c r="A40" s="77"/>
      <c r="B40" s="36"/>
      <c r="C40" s="36"/>
      <c r="D40" s="78"/>
      <c r="E40" s="78"/>
      <c r="F40" s="79"/>
    </row>
    <row r="41" spans="1:6" x14ac:dyDescent="0.55000000000000004">
      <c r="A41" s="77"/>
      <c r="B41" s="36"/>
      <c r="C41" s="36"/>
      <c r="D41" s="78"/>
      <c r="E41" s="78"/>
      <c r="F41" s="79"/>
    </row>
    <row r="42" spans="1:6" x14ac:dyDescent="0.55000000000000004">
      <c r="A42" s="77"/>
      <c r="B42" s="36"/>
      <c r="C42" s="36"/>
      <c r="D42" s="78"/>
      <c r="E42" s="78"/>
      <c r="F42" s="79"/>
    </row>
    <row r="43" spans="1:6" x14ac:dyDescent="0.55000000000000004">
      <c r="A43" s="77"/>
      <c r="B43" s="36"/>
      <c r="C43" s="36"/>
      <c r="D43" s="78"/>
      <c r="E43" s="78"/>
      <c r="F43" s="79"/>
    </row>
    <row r="44" spans="1:6" x14ac:dyDescent="0.55000000000000004">
      <c r="A44" s="77"/>
      <c r="B44" s="36"/>
      <c r="C44" s="36"/>
      <c r="D44" s="78"/>
      <c r="E44" s="78"/>
      <c r="F44" s="79"/>
    </row>
    <row r="45" spans="1:6" x14ac:dyDescent="0.55000000000000004">
      <c r="A45" s="77"/>
      <c r="B45" s="36"/>
      <c r="C45" s="36"/>
      <c r="D45" s="78"/>
      <c r="E45" s="78"/>
      <c r="F45" s="79"/>
    </row>
    <row r="46" spans="1:6" x14ac:dyDescent="0.55000000000000004">
      <c r="A46" s="77"/>
      <c r="B46" s="36"/>
      <c r="C46" s="36"/>
      <c r="D46" s="78"/>
      <c r="E46" s="78"/>
      <c r="F46" s="79"/>
    </row>
    <row r="47" spans="1:6" x14ac:dyDescent="0.55000000000000004">
      <c r="A47" s="77"/>
      <c r="B47" s="36"/>
      <c r="C47" s="36"/>
      <c r="D47" s="78"/>
      <c r="E47" s="78"/>
      <c r="F47" s="79"/>
    </row>
  </sheetData>
  <mergeCells count="9">
    <mergeCell ref="A1:F1"/>
    <mergeCell ref="A2:F2"/>
    <mergeCell ref="A3:F3"/>
    <mergeCell ref="E4:E5"/>
    <mergeCell ref="F4:F5"/>
    <mergeCell ref="A4:A5"/>
    <mergeCell ref="B4:B5"/>
    <mergeCell ref="C4:C5"/>
    <mergeCell ref="D4:D5"/>
  </mergeCells>
  <phoneticPr fontId="8" type="noConversion"/>
  <printOptions horizontalCentered="1"/>
  <pageMargins left="0.19685039370078741" right="0.19685039370078741" top="0.62992125984251968" bottom="0.74803149606299213" header="0.51181102362204722" footer="0.51181102362204722"/>
  <pageSetup paperSize="9" scale="90" orientation="landscape" horizontalDpi="180" verticalDpi="18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AB50"/>
  <sheetViews>
    <sheetView workbookViewId="0">
      <pane xSplit="3" ySplit="8" topLeftCell="L27" activePane="bottomRight" state="frozen"/>
      <selection pane="topRight" activeCell="D1" sqref="D1"/>
      <selection pane="bottomLeft" activeCell="A9" sqref="A9"/>
      <selection pane="bottomRight" activeCell="Q26" sqref="Q26"/>
    </sheetView>
  </sheetViews>
  <sheetFormatPr defaultColWidth="13" defaultRowHeight="24" x14ac:dyDescent="0.55000000000000004"/>
  <cols>
    <col min="1" max="1" width="12.85546875" style="17" customWidth="1"/>
    <col min="2" max="2" width="20.140625" style="17" bestFit="1" customWidth="1"/>
    <col min="3" max="3" width="24.7109375" style="17" customWidth="1"/>
    <col min="4" max="4" width="15.7109375" style="17" bestFit="1" customWidth="1"/>
    <col min="5" max="5" width="15.7109375" style="17" customWidth="1"/>
    <col min="6" max="8" width="14.5703125" style="17" bestFit="1" customWidth="1"/>
    <col min="9" max="9" width="15.7109375" style="17" bestFit="1" customWidth="1"/>
    <col min="10" max="10" width="14.5703125" style="17" bestFit="1" customWidth="1"/>
    <col min="11" max="11" width="13.5703125" style="17" customWidth="1"/>
    <col min="12" max="12" width="13.85546875" style="17" customWidth="1"/>
    <col min="13" max="13" width="10.85546875" style="17" customWidth="1"/>
    <col min="14" max="14" width="10.7109375" style="17" bestFit="1" customWidth="1"/>
    <col min="15" max="15" width="15.140625" style="17" customWidth="1"/>
    <col min="16" max="16" width="15.7109375" style="17" bestFit="1" customWidth="1"/>
    <col min="17" max="17" width="15.7109375" style="17" customWidth="1"/>
    <col min="18" max="18" width="13" style="17" customWidth="1"/>
    <col min="19" max="19" width="13.28515625" style="17" customWidth="1"/>
    <col min="20" max="20" width="12" style="17" customWidth="1"/>
    <col min="21" max="22" width="14.28515625" style="17" customWidth="1"/>
    <col min="23" max="23" width="15.85546875" style="17" customWidth="1"/>
    <col min="24" max="24" width="13" style="17" customWidth="1"/>
    <col min="25" max="25" width="15.28515625" style="17" customWidth="1"/>
    <col min="26" max="26" width="13.7109375" style="17" customWidth="1"/>
    <col min="27" max="27" width="12.42578125" style="17" customWidth="1"/>
    <col min="28" max="28" width="11.85546875" style="17" customWidth="1"/>
    <col min="29" max="29" width="14.28515625" style="17" customWidth="1"/>
    <col min="30" max="16384" width="13" style="17"/>
  </cols>
  <sheetData>
    <row r="1" spans="1:28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x14ac:dyDescent="0.55000000000000004">
      <c r="A2" s="259" t="s">
        <v>293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x14ac:dyDescent="0.55000000000000004">
      <c r="A3" s="260" t="s">
        <v>255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21" customHeight="1" x14ac:dyDescent="0.55000000000000004">
      <c r="A4" s="286" t="s">
        <v>256</v>
      </c>
      <c r="B4" s="284" t="s">
        <v>231</v>
      </c>
      <c r="C4" s="286" t="s">
        <v>228</v>
      </c>
      <c r="D4" s="293" t="s">
        <v>229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84"/>
      <c r="P4" s="286" t="s">
        <v>9</v>
      </c>
    </row>
    <row r="5" spans="1:28" ht="21" customHeight="1" x14ac:dyDescent="0.55000000000000004">
      <c r="A5" s="291"/>
      <c r="B5" s="292"/>
      <c r="C5" s="291"/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2"/>
      <c r="P5" s="291"/>
    </row>
    <row r="6" spans="1:28" ht="21" customHeight="1" x14ac:dyDescent="0.55000000000000004">
      <c r="A6" s="291"/>
      <c r="B6" s="292"/>
      <c r="C6" s="291"/>
      <c r="D6" s="290" t="s">
        <v>93</v>
      </c>
      <c r="E6" s="290" t="s">
        <v>92</v>
      </c>
      <c r="F6" s="290" t="s">
        <v>83</v>
      </c>
      <c r="G6" s="290" t="s">
        <v>64</v>
      </c>
      <c r="H6" s="290" t="s">
        <v>74</v>
      </c>
      <c r="I6" s="290" t="s">
        <v>91</v>
      </c>
      <c r="J6" s="290" t="s">
        <v>350</v>
      </c>
      <c r="K6" s="290" t="s">
        <v>289</v>
      </c>
      <c r="L6" s="290" t="s">
        <v>290</v>
      </c>
      <c r="M6" s="290" t="s">
        <v>291</v>
      </c>
      <c r="N6" s="290" t="s">
        <v>31</v>
      </c>
      <c r="O6" s="290" t="s">
        <v>23</v>
      </c>
      <c r="P6" s="291"/>
    </row>
    <row r="7" spans="1:28" ht="21" customHeight="1" x14ac:dyDescent="0.55000000000000004">
      <c r="A7" s="291"/>
      <c r="B7" s="292"/>
      <c r="C7" s="291"/>
      <c r="D7" s="297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1"/>
    </row>
    <row r="8" spans="1:28" x14ac:dyDescent="0.55000000000000004">
      <c r="A8" s="287"/>
      <c r="B8" s="285"/>
      <c r="C8" s="287"/>
      <c r="D8" s="297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87"/>
    </row>
    <row r="9" spans="1:28" x14ac:dyDescent="0.55000000000000004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1:28" x14ac:dyDescent="0.55000000000000004">
      <c r="A10" s="147" t="s">
        <v>257</v>
      </c>
      <c r="B10" s="147" t="s">
        <v>144</v>
      </c>
      <c r="C10" s="147" t="s">
        <v>234</v>
      </c>
      <c r="D10" s="157">
        <f>SUM(งานบริหาร!H7)</f>
        <v>2373600</v>
      </c>
      <c r="E10" s="157">
        <f>SUM(รักษาความสงบ!H7)</f>
        <v>0</v>
      </c>
      <c r="F10" s="157">
        <f>SUM(การศึกษา!I7)</f>
        <v>0</v>
      </c>
      <c r="G10" s="157">
        <f>SUM(สาธารณสุข!I7)</f>
        <v>0</v>
      </c>
      <c r="H10" s="157">
        <f>SUM(สังคมสงเคราะห์!G7)</f>
        <v>0</v>
      </c>
      <c r="I10" s="157">
        <f>SUM(เคหะชุมชน!J7)</f>
        <v>0</v>
      </c>
      <c r="J10" s="157">
        <f>SUM(เข้มแข็งของชุมชน!G7)</f>
        <v>0</v>
      </c>
      <c r="K10" s="157">
        <f>SUM(ศาสนา!I7)</f>
        <v>0</v>
      </c>
      <c r="L10" s="157">
        <f>SUM(อุตสาหกรรม!G7)</f>
        <v>0</v>
      </c>
      <c r="M10" s="157">
        <f>SUM(การเกษตร!G7)</f>
        <v>0</v>
      </c>
      <c r="N10" s="157">
        <f>SUM(การพาณิชย์!G7)</f>
        <v>0</v>
      </c>
      <c r="O10" s="73">
        <f>SUM(งบกลาง!F7)</f>
        <v>0</v>
      </c>
      <c r="P10" s="73">
        <f>SUM(D10:O10)</f>
        <v>2373600</v>
      </c>
      <c r="Q10" s="67"/>
    </row>
    <row r="11" spans="1:28" x14ac:dyDescent="0.55000000000000004">
      <c r="A11" s="147"/>
      <c r="B11" s="147" t="s">
        <v>145</v>
      </c>
      <c r="C11" s="147" t="s">
        <v>234</v>
      </c>
      <c r="D11" s="157">
        <f>SUM(งานบริหาร!H8)</f>
        <v>4508200.24</v>
      </c>
      <c r="E11" s="157">
        <f>SUM(รักษาความสงบ!H8)</f>
        <v>1095798.06</v>
      </c>
      <c r="F11" s="157">
        <f>SUM(การศึกษา!I8)</f>
        <v>674340</v>
      </c>
      <c r="G11" s="157">
        <f>SUM(สาธารณสุข!I8)</f>
        <v>719672</v>
      </c>
      <c r="H11" s="157">
        <f>SUM(สังคมสงเคราะห์!G8)</f>
        <v>936440</v>
      </c>
      <c r="I11" s="157">
        <f>SUM(เคหะชุมชน!J8)</f>
        <v>2741273.77</v>
      </c>
      <c r="J11" s="157">
        <f>SUM(เข้มแข็งของชุมชน!G8)</f>
        <v>0</v>
      </c>
      <c r="K11" s="157">
        <f>SUM(ศาสนา!I8)</f>
        <v>0</v>
      </c>
      <c r="L11" s="157">
        <f>SUM(อุตสาหกรรม!G8)</f>
        <v>0</v>
      </c>
      <c r="M11" s="157">
        <f>SUM(การเกษตร!G8)</f>
        <v>0</v>
      </c>
      <c r="N11" s="157">
        <f>SUM(การพาณิชย์!G8)</f>
        <v>0</v>
      </c>
      <c r="O11" s="73">
        <f>SUM(งบกลาง!F8)</f>
        <v>0</v>
      </c>
      <c r="P11" s="73">
        <f t="shared" ref="P11:P23" si="0">SUM(D11:O11)</f>
        <v>10675724.07</v>
      </c>
    </row>
    <row r="12" spans="1:28" x14ac:dyDescent="0.55000000000000004">
      <c r="A12" s="147" t="s">
        <v>258</v>
      </c>
      <c r="B12" s="10" t="s">
        <v>25</v>
      </c>
      <c r="C12" s="147" t="s">
        <v>234</v>
      </c>
      <c r="D12" s="157">
        <f>SUM(งานบริหาร!H9)</f>
        <v>912915</v>
      </c>
      <c r="E12" s="157">
        <f>SUM(รักษาความสงบ!H9)</f>
        <v>9000</v>
      </c>
      <c r="F12" s="157">
        <f>SUM(การศึกษา!I9)</f>
        <v>40260</v>
      </c>
      <c r="G12" s="157">
        <f>SUM(สาธารณสุข!I9)</f>
        <v>45850</v>
      </c>
      <c r="H12" s="157">
        <f>SUM(สังคมสงเคราะห์!G9)</f>
        <v>72000</v>
      </c>
      <c r="I12" s="157">
        <f>SUM(เคหะชุมชน!J9)</f>
        <v>236479</v>
      </c>
      <c r="J12" s="157">
        <f>SUM(เข้มแข็งของชุมชน!G9)</f>
        <v>0</v>
      </c>
      <c r="K12" s="157">
        <f>SUM(ศาสนา!I9)</f>
        <v>0</v>
      </c>
      <c r="L12" s="157">
        <f>SUM(อุตสาหกรรม!G9)</f>
        <v>0</v>
      </c>
      <c r="M12" s="157">
        <f>SUM(การเกษตร!G9)</f>
        <v>0</v>
      </c>
      <c r="N12" s="157">
        <f>SUM(การพาณิชย์!G9)</f>
        <v>0</v>
      </c>
      <c r="O12" s="73">
        <f>SUM(งบกลาง!F9)</f>
        <v>0</v>
      </c>
      <c r="P12" s="73">
        <f t="shared" si="0"/>
        <v>1316504</v>
      </c>
    </row>
    <row r="13" spans="1:28" x14ac:dyDescent="0.55000000000000004">
      <c r="A13" s="147" t="s">
        <v>20</v>
      </c>
      <c r="B13" s="151" t="s">
        <v>26</v>
      </c>
      <c r="C13" s="147" t="s">
        <v>234</v>
      </c>
      <c r="D13" s="157">
        <f>SUM(งานบริหาร!H10)</f>
        <v>1895010.1</v>
      </c>
      <c r="E13" s="157">
        <f>SUM(รักษาความสงบ!H10)</f>
        <v>272882.98</v>
      </c>
      <c r="F13" s="157">
        <f>SUM(การศึกษา!I10)</f>
        <v>700130.5</v>
      </c>
      <c r="G13" s="157">
        <f>SUM(สาธารณสุข!I10)</f>
        <v>323773</v>
      </c>
      <c r="H13" s="157">
        <f>SUM(สังคมสงเคราะห์!G10)</f>
        <v>31380</v>
      </c>
      <c r="I13" s="157">
        <f>SUM(เคหะชุมชน!J10)</f>
        <v>2353610.2000000002</v>
      </c>
      <c r="J13" s="157">
        <f>SUM(เข้มแข็งของชุมชน!G10)</f>
        <v>1076372</v>
      </c>
      <c r="K13" s="157">
        <f>SUM(ศาสนา!I10)</f>
        <v>503555.1</v>
      </c>
      <c r="L13" s="157">
        <f>SUM(อุตสาหกรรม!G10)</f>
        <v>0</v>
      </c>
      <c r="M13" s="157">
        <f>SUM(การเกษตร!G10)</f>
        <v>0</v>
      </c>
      <c r="N13" s="157">
        <f>SUM(การพาณิชย์!G10)</f>
        <v>0</v>
      </c>
      <c r="O13" s="73">
        <f>SUM(งบกลาง!F10)</f>
        <v>0</v>
      </c>
      <c r="P13" s="73">
        <f t="shared" si="0"/>
        <v>7156713.8799999999</v>
      </c>
    </row>
    <row r="14" spans="1:28" x14ac:dyDescent="0.55000000000000004">
      <c r="A14" s="147"/>
      <c r="B14" s="151" t="s">
        <v>26</v>
      </c>
      <c r="C14" s="147" t="s">
        <v>292</v>
      </c>
      <c r="D14" s="157">
        <f>SUM(งานบริหาร!H11)</f>
        <v>0</v>
      </c>
      <c r="E14" s="157">
        <f>SUM(รักษาความสงบ!H11)</f>
        <v>0</v>
      </c>
      <c r="F14" s="157">
        <f>SUM(การศึกษา!I11)</f>
        <v>0</v>
      </c>
      <c r="G14" s="157">
        <f>SUM(สาธารณสุข!I11)</f>
        <v>0</v>
      </c>
      <c r="H14" s="157">
        <f>SUM(สังคมสงเคราะห์!G11)</f>
        <v>40000</v>
      </c>
      <c r="I14" s="157">
        <f>SUM(เคหะชุมชน!J11)</f>
        <v>0</v>
      </c>
      <c r="J14" s="157">
        <f>SUM(เข้มแข็งของชุมชน!G11)</f>
        <v>12500</v>
      </c>
      <c r="K14" s="157">
        <f>SUM(ศาสนา!I11)</f>
        <v>0</v>
      </c>
      <c r="L14" s="157">
        <f>SUM(อุตสาหกรรม!G11)</f>
        <v>0</v>
      </c>
      <c r="M14" s="157">
        <f>SUM(การเกษตร!G11)</f>
        <v>0</v>
      </c>
      <c r="N14" s="157">
        <f>SUM(การพาณิชย์!G11)</f>
        <v>0</v>
      </c>
      <c r="O14" s="73">
        <f>SUM(งบกลาง!F11)</f>
        <v>0</v>
      </c>
      <c r="P14" s="73">
        <f t="shared" si="0"/>
        <v>52500</v>
      </c>
    </row>
    <row r="15" spans="1:28" x14ac:dyDescent="0.55000000000000004">
      <c r="A15" s="147"/>
      <c r="B15" s="147" t="s">
        <v>27</v>
      </c>
      <c r="C15" s="147" t="s">
        <v>234</v>
      </c>
      <c r="D15" s="157">
        <f>SUM(งานบริหาร!H12)</f>
        <v>812882.22</v>
      </c>
      <c r="E15" s="157">
        <f>SUM(รักษาความสงบ!H12)</f>
        <v>299319.37</v>
      </c>
      <c r="F15" s="157">
        <f>SUM(การศึกษา!I12)</f>
        <v>1718256.56</v>
      </c>
      <c r="G15" s="157">
        <f>SUM(สาธารณสุข!I12)</f>
        <v>45090</v>
      </c>
      <c r="H15" s="157">
        <f>SUM(สังคมสงเคราะห์!G12)</f>
        <v>66924</v>
      </c>
      <c r="I15" s="157">
        <f>SUM(เคหะชุมชน!J12)</f>
        <v>1201338.02</v>
      </c>
      <c r="J15" s="157">
        <f>SUM(เข้มแข็งของชุมชน!G12)</f>
        <v>0</v>
      </c>
      <c r="K15" s="157">
        <f>SUM(ศาสนา!I12)</f>
        <v>60000</v>
      </c>
      <c r="L15" s="157">
        <f>SUM(อุตสาหกรรม!G12)</f>
        <v>0</v>
      </c>
      <c r="M15" s="157">
        <f>SUM(การเกษตร!G12)</f>
        <v>0</v>
      </c>
      <c r="N15" s="157">
        <f>SUM(การพาณิชย์!G12)</f>
        <v>0</v>
      </c>
      <c r="O15" s="73">
        <f>SUM(งบกลาง!F12)</f>
        <v>0</v>
      </c>
      <c r="P15" s="73">
        <f t="shared" si="0"/>
        <v>4203810.17</v>
      </c>
      <c r="Q15" s="67"/>
    </row>
    <row r="16" spans="1:28" x14ac:dyDescent="0.55000000000000004">
      <c r="A16" s="147"/>
      <c r="B16" s="147" t="s">
        <v>28</v>
      </c>
      <c r="C16" s="147" t="s">
        <v>234</v>
      </c>
      <c r="D16" s="157">
        <f>SUM(งานบริหาร!H13)</f>
        <v>820551.68000000005</v>
      </c>
      <c r="E16" s="157">
        <f>SUM(รักษาความสงบ!H13)</f>
        <v>0</v>
      </c>
      <c r="F16" s="157">
        <f>SUM(การศึกษา!I13)</f>
        <v>0</v>
      </c>
      <c r="G16" s="157">
        <f>SUM(สาธารณสุข!I13)</f>
        <v>1476.53</v>
      </c>
      <c r="H16" s="157">
        <f>SUM(สังคมสงเคราะห์!G13)</f>
        <v>838</v>
      </c>
      <c r="I16" s="157">
        <f>SUM(เคหะชุมชน!J13)</f>
        <v>35270.1</v>
      </c>
      <c r="J16" s="157">
        <f>SUM(เข้มแข็งของชุมชน!G13)</f>
        <v>0</v>
      </c>
      <c r="K16" s="157">
        <f>SUM(ศาสนา!I13)</f>
        <v>0</v>
      </c>
      <c r="L16" s="157">
        <f>SUM(อุตสาหกรรม!G13)</f>
        <v>0</v>
      </c>
      <c r="M16" s="157">
        <f>SUM(การเกษตร!G13)</f>
        <v>0</v>
      </c>
      <c r="N16" s="157">
        <f>SUM(การพาณิชย์!G13)</f>
        <v>0</v>
      </c>
      <c r="O16" s="73">
        <f>SUM(งบกลาง!F13)</f>
        <v>0</v>
      </c>
      <c r="P16" s="73">
        <f t="shared" si="0"/>
        <v>858136.31</v>
      </c>
    </row>
    <row r="17" spans="1:16" x14ac:dyDescent="0.55000000000000004">
      <c r="A17" s="147" t="s">
        <v>259</v>
      </c>
      <c r="B17" s="147" t="s">
        <v>349</v>
      </c>
      <c r="C17" s="147" t="s">
        <v>234</v>
      </c>
      <c r="D17" s="157">
        <f>SUM(งานบริหาร!H14)</f>
        <v>775630</v>
      </c>
      <c r="E17" s="157">
        <f>SUM(รักษาความสงบ!H14)</f>
        <v>528000</v>
      </c>
      <c r="F17" s="157">
        <f>SUM(การศึกษา!I14)</f>
        <v>251120</v>
      </c>
      <c r="G17" s="157">
        <f>SUM(สาธารณสุข!I14)</f>
        <v>76790</v>
      </c>
      <c r="H17" s="157">
        <f>SUM(สังคมสงเคราะห์!G14)</f>
        <v>37900</v>
      </c>
      <c r="I17" s="157">
        <f>SUM(เคหะชุมชน!J14)</f>
        <v>334400</v>
      </c>
      <c r="J17" s="157">
        <f>SUM(เข้มแข็งของชุมชน!G14)</f>
        <v>0</v>
      </c>
      <c r="K17" s="157">
        <f>SUM(ศาสนา!I14)</f>
        <v>0</v>
      </c>
      <c r="L17" s="157">
        <f>SUM(อุตสาหกรรม!G14)</f>
        <v>0</v>
      </c>
      <c r="M17" s="157">
        <f>SUM(การเกษตร!G14)</f>
        <v>0</v>
      </c>
      <c r="N17" s="157">
        <f>SUM(การพาณิชย์!G14)</f>
        <v>0</v>
      </c>
      <c r="O17" s="73">
        <f>SUM(งบกลาง!F14)</f>
        <v>0</v>
      </c>
      <c r="P17" s="73">
        <f t="shared" si="0"/>
        <v>2003840</v>
      </c>
    </row>
    <row r="18" spans="1:16" x14ac:dyDescent="0.55000000000000004">
      <c r="A18" s="147"/>
      <c r="B18" s="147" t="s">
        <v>52</v>
      </c>
      <c r="C18" s="147" t="s">
        <v>234</v>
      </c>
      <c r="D18" s="157">
        <f>SUM(งานบริหาร!H15)</f>
        <v>266700</v>
      </c>
      <c r="E18" s="157">
        <f>SUM(รักษาความสงบ!H15)</f>
        <v>0</v>
      </c>
      <c r="F18" s="157">
        <f>SUM(การศึกษา!I15)</f>
        <v>2793000</v>
      </c>
      <c r="G18" s="157">
        <f>SUM(สาธารณสุข!I15)</f>
        <v>0</v>
      </c>
      <c r="H18" s="157">
        <f>SUM(สังคมสงเคราะห์!G15)</f>
        <v>0</v>
      </c>
      <c r="I18" s="157">
        <f>SUM(เคหะชุมชน!J15)</f>
        <v>2517270</v>
      </c>
      <c r="J18" s="157">
        <f>SUM(เข้มแข็งของชุมชน!G15)</f>
        <v>0</v>
      </c>
      <c r="K18" s="157">
        <f>SUM(ศาสนา!I15)</f>
        <v>0</v>
      </c>
      <c r="L18" s="157">
        <f>SUM(อุตสาหกรรม!G15)</f>
        <v>0</v>
      </c>
      <c r="M18" s="157">
        <f>SUM(การเกษตร!G15)</f>
        <v>0</v>
      </c>
      <c r="N18" s="157">
        <f>SUM(การพาณิชย์!G15)</f>
        <v>0</v>
      </c>
      <c r="O18" s="73">
        <f>SUM(งบกลาง!F15)</f>
        <v>0</v>
      </c>
      <c r="P18" s="73">
        <f t="shared" si="0"/>
        <v>5576970</v>
      </c>
    </row>
    <row r="19" spans="1:16" x14ac:dyDescent="0.55000000000000004">
      <c r="A19" s="147"/>
      <c r="B19" s="147" t="s">
        <v>52</v>
      </c>
      <c r="C19" s="147" t="s">
        <v>292</v>
      </c>
      <c r="D19" s="157">
        <f>SUM(งานบริหาร!H16)</f>
        <v>0</v>
      </c>
      <c r="E19" s="157">
        <f>SUM(รักษาความสงบ!H16)</f>
        <v>0</v>
      </c>
      <c r="F19" s="157">
        <f>SUM(การศึกษา!I16)</f>
        <v>0</v>
      </c>
      <c r="G19" s="157">
        <f>SUM(สาธารณสุข!I16)</f>
        <v>0</v>
      </c>
      <c r="H19" s="157">
        <f>SUM(สังคมสงเคราะห์!G16)</f>
        <v>0</v>
      </c>
      <c r="I19" s="157">
        <f>SUM(เคหะชุมชน!J16)</f>
        <v>1706000</v>
      </c>
      <c r="J19" s="157">
        <f>SUM(เข้มแข็งของชุมชน!G16)</f>
        <v>0</v>
      </c>
      <c r="K19" s="157">
        <f>SUM(ศาสนา!I16)</f>
        <v>0</v>
      </c>
      <c r="L19" s="157">
        <f>SUM(อุตสาหกรรม!G16)</f>
        <v>0</v>
      </c>
      <c r="M19" s="157">
        <f>SUM(การเกษตร!G16)</f>
        <v>0</v>
      </c>
      <c r="N19" s="157">
        <f>SUM(การพาณิชย์!G16)</f>
        <v>0</v>
      </c>
      <c r="O19" s="73">
        <f>SUM(งบกลาง!F16)</f>
        <v>0</v>
      </c>
      <c r="P19" s="73">
        <f t="shared" si="0"/>
        <v>1706000</v>
      </c>
    </row>
    <row r="20" spans="1:16" x14ac:dyDescent="0.55000000000000004">
      <c r="A20" s="147" t="s">
        <v>260</v>
      </c>
      <c r="B20" s="10" t="s">
        <v>56</v>
      </c>
      <c r="C20" s="147" t="s">
        <v>234</v>
      </c>
      <c r="D20" s="157">
        <f>SUM(งานบริหาร!H17)</f>
        <v>0</v>
      </c>
      <c r="E20" s="157">
        <f>SUM(รักษาความสงบ!H17)</f>
        <v>0</v>
      </c>
      <c r="F20" s="157">
        <f>SUM(การศึกษา!I17)</f>
        <v>0</v>
      </c>
      <c r="G20" s="157">
        <f>SUM(สาธารณสุข!I17)</f>
        <v>0</v>
      </c>
      <c r="H20" s="157">
        <f>SUM(สังคมสงเคราะห์!G17)</f>
        <v>0</v>
      </c>
      <c r="I20" s="157">
        <f>SUM(เคหะชุมชน!J17)</f>
        <v>0</v>
      </c>
      <c r="J20" s="157">
        <f>SUM(เข้มแข็งของชุมชน!G17)</f>
        <v>0</v>
      </c>
      <c r="K20" s="157">
        <f>SUM(ศาสนา!I17)</f>
        <v>0</v>
      </c>
      <c r="L20" s="157">
        <f>SUM(อุตสาหกรรม!G17)</f>
        <v>0</v>
      </c>
      <c r="M20" s="157">
        <f>SUM(การเกษตร!G17)</f>
        <v>0</v>
      </c>
      <c r="N20" s="157">
        <f>SUM(การพาณิชย์!G17)</f>
        <v>0</v>
      </c>
      <c r="O20" s="73">
        <f>SUM(งบกลาง!F17)</f>
        <v>0</v>
      </c>
      <c r="P20" s="73">
        <f t="shared" si="0"/>
        <v>0</v>
      </c>
    </row>
    <row r="21" spans="1:16" x14ac:dyDescent="0.55000000000000004">
      <c r="A21" s="147" t="s">
        <v>261</v>
      </c>
      <c r="B21" s="10" t="s">
        <v>29</v>
      </c>
      <c r="C21" s="147" t="s">
        <v>234</v>
      </c>
      <c r="D21" s="157">
        <f>SUM(งานบริหาร!H18)</f>
        <v>25000</v>
      </c>
      <c r="E21" s="157">
        <f>SUM(รักษาความสงบ!H18)</f>
        <v>0</v>
      </c>
      <c r="F21" s="157">
        <f>SUM(การศึกษา!I18)</f>
        <v>2362000</v>
      </c>
      <c r="G21" s="157">
        <f>SUM(สาธารณสุข!I18)</f>
        <v>52500</v>
      </c>
      <c r="H21" s="157">
        <f>SUM(สังคมสงเคราะห์!G18)</f>
        <v>0</v>
      </c>
      <c r="I21" s="157">
        <f>SUM(เคหะชุมชน!J18)</f>
        <v>482131.77</v>
      </c>
      <c r="J21" s="157">
        <f>SUM(เข้มแข็งของชุมชน!G18)</f>
        <v>0</v>
      </c>
      <c r="K21" s="157">
        <f>SUM(ศาสนา!I18)</f>
        <v>75000</v>
      </c>
      <c r="L21" s="157">
        <f>SUM(อุตสาหกรรม!G18)</f>
        <v>0</v>
      </c>
      <c r="M21" s="157">
        <f>SUM(การเกษตร!G18)</f>
        <v>0</v>
      </c>
      <c r="N21" s="157">
        <f>SUM(การพาณิชย์!G18)</f>
        <v>0</v>
      </c>
      <c r="O21" s="73">
        <f>SUM(งบกลาง!F18)</f>
        <v>0</v>
      </c>
      <c r="P21" s="73">
        <f t="shared" si="0"/>
        <v>2996631.77</v>
      </c>
    </row>
    <row r="22" spans="1:16" x14ac:dyDescent="0.55000000000000004">
      <c r="A22" s="147" t="s">
        <v>23</v>
      </c>
      <c r="B22" s="147" t="s">
        <v>23</v>
      </c>
      <c r="C22" s="147" t="s">
        <v>234</v>
      </c>
      <c r="D22" s="157">
        <f>SUM(งานบริหาร!H19)</f>
        <v>0</v>
      </c>
      <c r="E22" s="157">
        <f>SUM(รักษาความสงบ!H19)</f>
        <v>0</v>
      </c>
      <c r="F22" s="157">
        <f>SUM(การศึกษา!I19)</f>
        <v>0</v>
      </c>
      <c r="G22" s="157">
        <f>SUM(สาธารณสุข!I19)</f>
        <v>0</v>
      </c>
      <c r="H22" s="157">
        <f>SUM(สังคมสงเคราะห์!G19)</f>
        <v>0</v>
      </c>
      <c r="I22" s="157">
        <f>SUM(เคหะชุมชน!J19)</f>
        <v>0</v>
      </c>
      <c r="J22" s="157">
        <f>SUM(เข้มแข็งของชุมชน!G19)</f>
        <v>0</v>
      </c>
      <c r="K22" s="157">
        <f>SUM(ศาสนา!I19)</f>
        <v>0</v>
      </c>
      <c r="L22" s="157">
        <f>SUM(อุตสาหกรรม!G19)</f>
        <v>0</v>
      </c>
      <c r="M22" s="157">
        <f>SUM(การเกษตร!G19)</f>
        <v>0</v>
      </c>
      <c r="N22" s="157">
        <f>SUM(การพาณิชย์!G19)</f>
        <v>0</v>
      </c>
      <c r="O22" s="73">
        <f>SUM(งบกลาง!F19)</f>
        <v>3150598.66</v>
      </c>
      <c r="P22" s="73">
        <f t="shared" si="0"/>
        <v>3150598.66</v>
      </c>
    </row>
    <row r="23" spans="1:16" x14ac:dyDescent="0.55000000000000004">
      <c r="A23" s="10"/>
      <c r="B23" s="147" t="s">
        <v>23</v>
      </c>
      <c r="C23" s="147" t="s">
        <v>292</v>
      </c>
      <c r="D23" s="157">
        <f>SUM(งานบริหาร!H20)</f>
        <v>0</v>
      </c>
      <c r="E23" s="157">
        <f>SUM(รักษาความสงบ!H20)</f>
        <v>0</v>
      </c>
      <c r="F23" s="157">
        <f>SUM(การศึกษา!I20)</f>
        <v>0</v>
      </c>
      <c r="G23" s="157">
        <f>SUM(สาธารณสุข!I20)</f>
        <v>0</v>
      </c>
      <c r="H23" s="157">
        <f>SUM(สังคมสงเคราะห์!G20)</f>
        <v>0</v>
      </c>
      <c r="I23" s="157">
        <f>SUM(เคหะชุมชน!J20)</f>
        <v>0</v>
      </c>
      <c r="J23" s="157">
        <f>SUM(เข้มแข็งของชุมชน!G20)</f>
        <v>0</v>
      </c>
      <c r="K23" s="157">
        <f>SUM(ศาสนา!I20)</f>
        <v>0</v>
      </c>
      <c r="L23" s="157">
        <f>SUM(อุตสาหกรรม!G20)</f>
        <v>0</v>
      </c>
      <c r="M23" s="157">
        <f>SUM(การเกษตร!G20)</f>
        <v>0</v>
      </c>
      <c r="N23" s="157">
        <f>SUM(การพาณิชย์!G20)</f>
        <v>0</v>
      </c>
      <c r="O23" s="73">
        <f>SUM(งบกลาง!F20)</f>
        <v>5098100</v>
      </c>
      <c r="P23" s="73">
        <f t="shared" si="0"/>
        <v>5098100</v>
      </c>
    </row>
    <row r="24" spans="1:16" x14ac:dyDescent="0.55000000000000004">
      <c r="A24" s="148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73"/>
      <c r="P24" s="73"/>
    </row>
    <row r="25" spans="1:16" x14ac:dyDescent="0.55000000000000004">
      <c r="A25" s="148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73"/>
      <c r="P25" s="73"/>
    </row>
    <row r="26" spans="1:16" x14ac:dyDescent="0.55000000000000004">
      <c r="A26" s="149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3"/>
      <c r="P26" s="153"/>
    </row>
    <row r="27" spans="1:16" x14ac:dyDescent="0.55000000000000004">
      <c r="A27" s="124"/>
      <c r="B27" s="123" t="s">
        <v>9</v>
      </c>
      <c r="C27" s="123"/>
      <c r="D27" s="156">
        <f>SUM(D10:D26)</f>
        <v>12390489.24</v>
      </c>
      <c r="E27" s="156">
        <f t="shared" ref="E27:P27" si="1">SUM(E10:E26)</f>
        <v>2205000.41</v>
      </c>
      <c r="F27" s="156">
        <f t="shared" si="1"/>
        <v>8539107.0600000005</v>
      </c>
      <c r="G27" s="156">
        <f t="shared" si="1"/>
        <v>1265151.53</v>
      </c>
      <c r="H27" s="156">
        <f t="shared" si="1"/>
        <v>1185482</v>
      </c>
      <c r="I27" s="156">
        <f t="shared" si="1"/>
        <v>11607772.859999999</v>
      </c>
      <c r="J27" s="156">
        <f t="shared" si="1"/>
        <v>1088872</v>
      </c>
      <c r="K27" s="156">
        <f t="shared" si="1"/>
        <v>638555.1</v>
      </c>
      <c r="L27" s="156">
        <f t="shared" si="1"/>
        <v>0</v>
      </c>
      <c r="M27" s="156">
        <f t="shared" si="1"/>
        <v>0</v>
      </c>
      <c r="N27" s="156">
        <f t="shared" si="1"/>
        <v>0</v>
      </c>
      <c r="O27" s="154">
        <f t="shared" si="1"/>
        <v>8248698.6600000001</v>
      </c>
      <c r="P27" s="155">
        <f t="shared" si="1"/>
        <v>47169128.859999999</v>
      </c>
    </row>
    <row r="28" spans="1:16" x14ac:dyDescent="0.55000000000000004">
      <c r="A28" s="7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78"/>
      <c r="P28" s="79"/>
    </row>
    <row r="29" spans="1:16" x14ac:dyDescent="0.55000000000000004">
      <c r="A29" s="7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78"/>
      <c r="P29" s="79"/>
    </row>
    <row r="30" spans="1:16" x14ac:dyDescent="0.55000000000000004">
      <c r="A30" s="7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78"/>
      <c r="P30" s="79"/>
    </row>
    <row r="31" spans="1:16" x14ac:dyDescent="0.55000000000000004">
      <c r="A31" s="7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78"/>
      <c r="P31" s="79"/>
    </row>
    <row r="32" spans="1:16" x14ac:dyDescent="0.55000000000000004">
      <c r="A32" s="7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78"/>
      <c r="P32" s="79"/>
    </row>
    <row r="33" spans="1:16" x14ac:dyDescent="0.55000000000000004">
      <c r="A33" s="7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78"/>
      <c r="P33" s="79"/>
    </row>
    <row r="34" spans="1:16" x14ac:dyDescent="0.55000000000000004">
      <c r="A34" s="7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78"/>
      <c r="P34" s="79"/>
    </row>
    <row r="35" spans="1:16" x14ac:dyDescent="0.55000000000000004">
      <c r="A35" s="7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78"/>
      <c r="P35" s="79"/>
    </row>
    <row r="36" spans="1:16" x14ac:dyDescent="0.55000000000000004">
      <c r="A36" s="7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78"/>
      <c r="P36" s="79"/>
    </row>
    <row r="37" spans="1:16" x14ac:dyDescent="0.55000000000000004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78"/>
      <c r="P37" s="79"/>
    </row>
    <row r="38" spans="1:16" x14ac:dyDescent="0.55000000000000004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8"/>
      <c r="P38" s="79"/>
    </row>
    <row r="39" spans="1:16" x14ac:dyDescent="0.55000000000000004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78"/>
      <c r="P39" s="79"/>
    </row>
    <row r="40" spans="1:16" x14ac:dyDescent="0.55000000000000004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78"/>
      <c r="P40" s="79"/>
    </row>
    <row r="41" spans="1:16" x14ac:dyDescent="0.55000000000000004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78"/>
      <c r="P41" s="79"/>
    </row>
    <row r="42" spans="1:16" x14ac:dyDescent="0.55000000000000004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78"/>
      <c r="P42" s="79"/>
    </row>
    <row r="43" spans="1:16" x14ac:dyDescent="0.55000000000000004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8"/>
      <c r="P43" s="79"/>
    </row>
    <row r="44" spans="1:16" x14ac:dyDescent="0.55000000000000004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8"/>
      <c r="P44" s="79"/>
    </row>
    <row r="45" spans="1:16" x14ac:dyDescent="0.55000000000000004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78"/>
      <c r="P45" s="79"/>
    </row>
    <row r="46" spans="1:16" x14ac:dyDescent="0.55000000000000004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78"/>
      <c r="P46" s="79"/>
    </row>
    <row r="47" spans="1:16" x14ac:dyDescent="0.55000000000000004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78"/>
      <c r="P47" s="79"/>
    </row>
    <row r="48" spans="1:16" x14ac:dyDescent="0.55000000000000004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78"/>
      <c r="P48" s="79"/>
    </row>
    <row r="49" spans="1:16" x14ac:dyDescent="0.55000000000000004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78"/>
      <c r="P49" s="79"/>
    </row>
    <row r="50" spans="1:16" x14ac:dyDescent="0.55000000000000004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78"/>
      <c r="P50" s="79"/>
    </row>
  </sheetData>
  <mergeCells count="20">
    <mergeCell ref="C4:C8"/>
    <mergeCell ref="A1:P1"/>
    <mergeCell ref="A2:P2"/>
    <mergeCell ref="A3:P3"/>
    <mergeCell ref="A4:A8"/>
    <mergeCell ref="B4:B8"/>
    <mergeCell ref="P4:P8"/>
    <mergeCell ref="D4:O5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</mergeCells>
  <phoneticPr fontId="8" type="noConversion"/>
  <printOptions horizontalCentered="1"/>
  <pageMargins left="7.874015748031496E-2" right="7.874015748031496E-2" top="0.74803149606299213" bottom="0.74803149606299213" header="0.31496062992125984" footer="0.31496062992125984"/>
  <pageSetup paperSize="9" scale="63" orientation="landscape" horizontalDpi="12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0"/>
  <sheetViews>
    <sheetView workbookViewId="0">
      <pane xSplit="2" ySplit="8" topLeftCell="C12" activePane="bottomRight" state="frozen"/>
      <selection pane="topRight" activeCell="D1" sqref="D1"/>
      <selection pane="bottomLeft" activeCell="A9" sqref="A9"/>
      <selection pane="bottomRight" activeCell="P27" sqref="P27"/>
    </sheetView>
  </sheetViews>
  <sheetFormatPr defaultColWidth="15.85546875" defaultRowHeight="24" x14ac:dyDescent="0.55000000000000004"/>
  <cols>
    <col min="1" max="1" width="15.85546875" style="17" customWidth="1"/>
    <col min="2" max="2" width="19.42578125" style="17" customWidth="1"/>
    <col min="3" max="16384" width="15.85546875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294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256</v>
      </c>
      <c r="B4" s="284" t="s">
        <v>231</v>
      </c>
      <c r="C4" s="293" t="s">
        <v>229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84"/>
      <c r="O4" s="286" t="s">
        <v>9</v>
      </c>
    </row>
    <row r="5" spans="1:27" ht="21" customHeight="1" x14ac:dyDescent="0.55000000000000004">
      <c r="A5" s="291"/>
      <c r="B5" s="292"/>
      <c r="C5" s="295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2"/>
      <c r="O5" s="291"/>
    </row>
    <row r="6" spans="1:27" ht="21" customHeight="1" x14ac:dyDescent="0.55000000000000004">
      <c r="A6" s="291"/>
      <c r="B6" s="292"/>
      <c r="C6" s="290" t="s">
        <v>93</v>
      </c>
      <c r="D6" s="290" t="s">
        <v>92</v>
      </c>
      <c r="E6" s="290" t="s">
        <v>83</v>
      </c>
      <c r="F6" s="290" t="s">
        <v>64</v>
      </c>
      <c r="G6" s="290" t="s">
        <v>74</v>
      </c>
      <c r="H6" s="290" t="s">
        <v>91</v>
      </c>
      <c r="I6" s="290" t="s">
        <v>350</v>
      </c>
      <c r="J6" s="290" t="s">
        <v>289</v>
      </c>
      <c r="K6" s="290" t="s">
        <v>290</v>
      </c>
      <c r="L6" s="290" t="s">
        <v>291</v>
      </c>
      <c r="M6" s="290" t="s">
        <v>31</v>
      </c>
      <c r="N6" s="290" t="s">
        <v>23</v>
      </c>
      <c r="O6" s="291"/>
    </row>
    <row r="7" spans="1:27" ht="21" customHeight="1" x14ac:dyDescent="0.55000000000000004">
      <c r="A7" s="291"/>
      <c r="B7" s="292"/>
      <c r="C7" s="297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1"/>
    </row>
    <row r="8" spans="1:27" x14ac:dyDescent="0.55000000000000004">
      <c r="A8" s="287"/>
      <c r="B8" s="285"/>
      <c r="C8" s="297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87"/>
    </row>
    <row r="9" spans="1:27" x14ac:dyDescent="0.55000000000000004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257</v>
      </c>
      <c r="B10" s="147" t="s">
        <v>144</v>
      </c>
      <c r="C10" s="157">
        <v>474720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73">
        <f>SUM(C10:N10)</f>
        <v>474720</v>
      </c>
      <c r="P10" s="67"/>
    </row>
    <row r="11" spans="1:27" x14ac:dyDescent="0.55000000000000004">
      <c r="A11" s="147"/>
      <c r="B11" s="147" t="s">
        <v>145</v>
      </c>
      <c r="C11" s="157">
        <v>911690</v>
      </c>
      <c r="D11" s="157">
        <v>215370</v>
      </c>
      <c r="E11" s="157">
        <v>198220</v>
      </c>
      <c r="F11" s="157">
        <v>143340</v>
      </c>
      <c r="G11" s="157">
        <v>204520</v>
      </c>
      <c r="H11" s="157">
        <v>551725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73">
        <f t="shared" ref="O11:O23" si="0">SUM(C11:N11)</f>
        <v>2224865</v>
      </c>
    </row>
    <row r="12" spans="1:27" x14ac:dyDescent="0.55000000000000004">
      <c r="A12" s="147" t="s">
        <v>258</v>
      </c>
      <c r="B12" s="10" t="s">
        <v>25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73">
        <f t="shared" si="0"/>
        <v>0</v>
      </c>
    </row>
    <row r="13" spans="1:27" x14ac:dyDescent="0.55000000000000004">
      <c r="A13" s="147" t="s">
        <v>20</v>
      </c>
      <c r="B13" s="151" t="s">
        <v>26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14733.6</v>
      </c>
      <c r="K13" s="157">
        <v>0</v>
      </c>
      <c r="L13" s="157">
        <v>0</v>
      </c>
      <c r="M13" s="157">
        <v>0</v>
      </c>
      <c r="N13" s="157">
        <v>0</v>
      </c>
      <c r="O13" s="73">
        <f t="shared" si="0"/>
        <v>14733.6</v>
      </c>
    </row>
    <row r="14" spans="1:27" x14ac:dyDescent="0.55000000000000004">
      <c r="A14" s="147" t="s">
        <v>20</v>
      </c>
      <c r="B14" s="151" t="s">
        <v>26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73">
        <f>SUM(C14:N14)</f>
        <v>0</v>
      </c>
    </row>
    <row r="15" spans="1:27" x14ac:dyDescent="0.55000000000000004">
      <c r="A15" s="147"/>
      <c r="B15" s="147" t="s">
        <v>27</v>
      </c>
      <c r="C15" s="157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73">
        <f t="shared" si="0"/>
        <v>0</v>
      </c>
      <c r="P15" s="67"/>
    </row>
    <row r="16" spans="1:27" x14ac:dyDescent="0.55000000000000004">
      <c r="A16" s="147"/>
      <c r="B16" s="147" t="s">
        <v>28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73">
        <f t="shared" si="0"/>
        <v>0</v>
      </c>
    </row>
    <row r="17" spans="1:15" x14ac:dyDescent="0.55000000000000004">
      <c r="A17" s="147" t="s">
        <v>259</v>
      </c>
      <c r="B17" s="147" t="s">
        <v>349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73">
        <f t="shared" si="0"/>
        <v>0</v>
      </c>
    </row>
    <row r="18" spans="1:15" x14ac:dyDescent="0.55000000000000004">
      <c r="A18" s="147"/>
      <c r="B18" s="147" t="s">
        <v>52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73">
        <f t="shared" si="0"/>
        <v>0</v>
      </c>
    </row>
    <row r="19" spans="1:15" x14ac:dyDescent="0.55000000000000004">
      <c r="A19" s="147"/>
      <c r="B19" s="147" t="s">
        <v>52</v>
      </c>
      <c r="C19" s="157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73">
        <f t="shared" si="0"/>
        <v>0</v>
      </c>
    </row>
    <row r="20" spans="1:15" x14ac:dyDescent="0.55000000000000004">
      <c r="A20" s="147" t="s">
        <v>260</v>
      </c>
      <c r="B20" s="10" t="s">
        <v>56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73">
        <f t="shared" si="0"/>
        <v>0</v>
      </c>
    </row>
    <row r="21" spans="1:15" x14ac:dyDescent="0.55000000000000004">
      <c r="A21" s="147" t="s">
        <v>261</v>
      </c>
      <c r="B21" s="10" t="s">
        <v>29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73">
        <f t="shared" si="0"/>
        <v>0</v>
      </c>
    </row>
    <row r="22" spans="1:15" x14ac:dyDescent="0.55000000000000004">
      <c r="A22" s="147" t="s">
        <v>23</v>
      </c>
      <c r="B22" s="147" t="s">
        <v>23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73">
        <f t="shared" si="0"/>
        <v>0</v>
      </c>
    </row>
    <row r="23" spans="1:15" x14ac:dyDescent="0.55000000000000004">
      <c r="A23" s="10"/>
      <c r="B23" s="147"/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73">
        <f t="shared" si="0"/>
        <v>0</v>
      </c>
    </row>
    <row r="24" spans="1:15" x14ac:dyDescent="0.55000000000000004">
      <c r="A24" s="148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73"/>
      <c r="O24" s="73"/>
    </row>
    <row r="25" spans="1:15" x14ac:dyDescent="0.55000000000000004">
      <c r="A25" s="148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73"/>
      <c r="O25" s="73"/>
    </row>
    <row r="26" spans="1:15" x14ac:dyDescent="0.55000000000000004">
      <c r="A26" s="149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3"/>
    </row>
    <row r="27" spans="1:15" x14ac:dyDescent="0.55000000000000004">
      <c r="A27" s="124"/>
      <c r="B27" s="123" t="s">
        <v>9</v>
      </c>
      <c r="C27" s="156">
        <f>SUM(C10:C26)</f>
        <v>1386410</v>
      </c>
      <c r="D27" s="156">
        <f t="shared" ref="D27:O27" si="1">SUM(D10:D26)</f>
        <v>215370</v>
      </c>
      <c r="E27" s="156">
        <f t="shared" si="1"/>
        <v>198220</v>
      </c>
      <c r="F27" s="156">
        <f t="shared" si="1"/>
        <v>143340</v>
      </c>
      <c r="G27" s="156">
        <f t="shared" si="1"/>
        <v>204520</v>
      </c>
      <c r="H27" s="156">
        <f t="shared" si="1"/>
        <v>551725</v>
      </c>
      <c r="I27" s="156">
        <f t="shared" si="1"/>
        <v>0</v>
      </c>
      <c r="J27" s="156">
        <f t="shared" si="1"/>
        <v>14733.6</v>
      </c>
      <c r="K27" s="156">
        <f t="shared" si="1"/>
        <v>0</v>
      </c>
      <c r="L27" s="156">
        <f t="shared" si="1"/>
        <v>0</v>
      </c>
      <c r="M27" s="156">
        <f t="shared" si="1"/>
        <v>0</v>
      </c>
      <c r="N27" s="154">
        <f t="shared" si="1"/>
        <v>0</v>
      </c>
      <c r="O27" s="155">
        <f t="shared" si="1"/>
        <v>2714318.6</v>
      </c>
    </row>
    <row r="28" spans="1:15" x14ac:dyDescent="0.55000000000000004">
      <c r="A28" s="7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78"/>
      <c r="O28" s="79"/>
    </row>
    <row r="29" spans="1:15" x14ac:dyDescent="0.55000000000000004">
      <c r="A29" s="7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8"/>
      <c r="O29" s="79"/>
    </row>
    <row r="30" spans="1:15" x14ac:dyDescent="0.55000000000000004">
      <c r="A30" s="7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78"/>
      <c r="O30" s="79"/>
    </row>
    <row r="31" spans="1:15" x14ac:dyDescent="0.55000000000000004">
      <c r="A31" s="7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8"/>
      <c r="O31" s="79"/>
    </row>
    <row r="32" spans="1:15" x14ac:dyDescent="0.55000000000000004">
      <c r="A32" s="7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8"/>
      <c r="O32" s="79"/>
    </row>
    <row r="33" spans="1:15" x14ac:dyDescent="0.55000000000000004">
      <c r="A33" s="7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78"/>
      <c r="O33" s="79"/>
    </row>
    <row r="34" spans="1:15" x14ac:dyDescent="0.55000000000000004">
      <c r="A34" s="7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78"/>
      <c r="O34" s="79"/>
    </row>
    <row r="35" spans="1:15" x14ac:dyDescent="0.55000000000000004">
      <c r="A35" s="7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78"/>
      <c r="O35" s="79"/>
    </row>
    <row r="36" spans="1:15" x14ac:dyDescent="0.55000000000000004">
      <c r="A36" s="7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78"/>
      <c r="O36" s="79"/>
    </row>
    <row r="37" spans="1:15" x14ac:dyDescent="0.55000000000000004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8"/>
      <c r="O37" s="79"/>
    </row>
    <row r="38" spans="1:15" x14ac:dyDescent="0.55000000000000004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78"/>
      <c r="O38" s="79"/>
    </row>
    <row r="39" spans="1:15" x14ac:dyDescent="0.55000000000000004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8"/>
      <c r="O39" s="79"/>
    </row>
    <row r="40" spans="1:15" x14ac:dyDescent="0.55000000000000004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78"/>
      <c r="O40" s="79"/>
    </row>
    <row r="41" spans="1:15" x14ac:dyDescent="0.55000000000000004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78"/>
      <c r="O41" s="79"/>
    </row>
    <row r="42" spans="1:15" x14ac:dyDescent="0.55000000000000004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78"/>
      <c r="O42" s="79"/>
    </row>
    <row r="43" spans="1:15" x14ac:dyDescent="0.55000000000000004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78"/>
      <c r="O43" s="79"/>
    </row>
    <row r="44" spans="1:15" x14ac:dyDescent="0.55000000000000004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78"/>
      <c r="O44" s="79"/>
    </row>
    <row r="45" spans="1:15" x14ac:dyDescent="0.55000000000000004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78"/>
      <c r="O45" s="79"/>
    </row>
    <row r="46" spans="1:15" x14ac:dyDescent="0.55000000000000004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78"/>
      <c r="O46" s="79"/>
    </row>
    <row r="47" spans="1:15" x14ac:dyDescent="0.55000000000000004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78"/>
      <c r="O47" s="79"/>
    </row>
    <row r="48" spans="1:15" x14ac:dyDescent="0.55000000000000004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78"/>
      <c r="O48" s="79"/>
    </row>
    <row r="49" spans="1:15" x14ac:dyDescent="0.55000000000000004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78"/>
      <c r="O49" s="79"/>
    </row>
    <row r="50" spans="1:15" x14ac:dyDescent="0.55000000000000004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78"/>
      <c r="O50" s="79"/>
    </row>
  </sheetData>
  <mergeCells count="19">
    <mergeCell ref="F6:F8"/>
    <mergeCell ref="G6:G8"/>
    <mergeCell ref="H6:H8"/>
    <mergeCell ref="L6:L8"/>
    <mergeCell ref="M6:M8"/>
    <mergeCell ref="A1:O1"/>
    <mergeCell ref="A2:O2"/>
    <mergeCell ref="A3:O3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  <mergeCell ref="E6:E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65" orientation="landscape" horizontalDpi="120" verticalDpi="18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0"/>
  <sheetViews>
    <sheetView workbookViewId="0">
      <pane xSplit="2" ySplit="8" topLeftCell="C21" activePane="bottomRight" state="frozen"/>
      <selection pane="topRight" activeCell="D1" sqref="D1"/>
      <selection pane="bottomLeft" activeCell="A9" sqref="A9"/>
      <selection pane="bottomRight" activeCell="H19" sqref="H19"/>
    </sheetView>
  </sheetViews>
  <sheetFormatPr defaultColWidth="13" defaultRowHeight="24" x14ac:dyDescent="0.55000000000000004"/>
  <cols>
    <col min="1" max="1" width="16.28515625" style="17" customWidth="1"/>
    <col min="2" max="2" width="20" style="17" customWidth="1"/>
    <col min="3" max="3" width="15.7109375" style="17" bestFit="1" customWidth="1"/>
    <col min="4" max="4" width="16.5703125" style="17" customWidth="1"/>
    <col min="5" max="7" width="14.5703125" style="17" bestFit="1" customWidth="1"/>
    <col min="8" max="8" width="15.7109375" style="17" bestFit="1" customWidth="1"/>
    <col min="9" max="9" width="13.85546875" style="17" customWidth="1"/>
    <col min="10" max="10" width="14.5703125" style="17" customWidth="1"/>
    <col min="11" max="11" width="13.42578125" style="17" customWidth="1"/>
    <col min="12" max="12" width="9.28515625" style="17" bestFit="1" customWidth="1"/>
    <col min="13" max="13" width="10.7109375" style="17" bestFit="1" customWidth="1"/>
    <col min="14" max="14" width="14.5703125" style="17" bestFit="1" customWidth="1"/>
    <col min="15" max="15" width="15.710937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295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">
        <v>255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256</v>
      </c>
      <c r="B4" s="284" t="s">
        <v>231</v>
      </c>
      <c r="C4" s="293" t="s">
        <v>229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84"/>
      <c r="O4" s="286" t="s">
        <v>9</v>
      </c>
    </row>
    <row r="5" spans="1:27" ht="21" customHeight="1" x14ac:dyDescent="0.55000000000000004">
      <c r="A5" s="291"/>
      <c r="B5" s="292"/>
      <c r="C5" s="295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2"/>
      <c r="O5" s="291"/>
    </row>
    <row r="6" spans="1:27" ht="21" customHeight="1" x14ac:dyDescent="0.55000000000000004">
      <c r="A6" s="291"/>
      <c r="B6" s="292"/>
      <c r="C6" s="290" t="s">
        <v>93</v>
      </c>
      <c r="D6" s="290" t="s">
        <v>92</v>
      </c>
      <c r="E6" s="290" t="s">
        <v>83</v>
      </c>
      <c r="F6" s="290" t="s">
        <v>64</v>
      </c>
      <c r="G6" s="290" t="s">
        <v>74</v>
      </c>
      <c r="H6" s="290" t="s">
        <v>91</v>
      </c>
      <c r="I6" s="290" t="s">
        <v>350</v>
      </c>
      <c r="J6" s="290" t="s">
        <v>289</v>
      </c>
      <c r="K6" s="290" t="s">
        <v>290</v>
      </c>
      <c r="L6" s="290" t="s">
        <v>291</v>
      </c>
      <c r="M6" s="290" t="s">
        <v>31</v>
      </c>
      <c r="N6" s="290" t="s">
        <v>23</v>
      </c>
      <c r="O6" s="291"/>
    </row>
    <row r="7" spans="1:27" ht="21" customHeight="1" x14ac:dyDescent="0.55000000000000004">
      <c r="A7" s="291"/>
      <c r="B7" s="292"/>
      <c r="C7" s="297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1"/>
    </row>
    <row r="8" spans="1:27" x14ac:dyDescent="0.55000000000000004">
      <c r="A8" s="287"/>
      <c r="B8" s="285"/>
      <c r="C8" s="297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87"/>
    </row>
    <row r="9" spans="1:27" x14ac:dyDescent="0.55000000000000004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257</v>
      </c>
      <c r="B10" s="147" t="s">
        <v>144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73">
        <f>SUM(C10:N10)</f>
        <v>0</v>
      </c>
      <c r="P10" s="67"/>
    </row>
    <row r="11" spans="1:27" x14ac:dyDescent="0.55000000000000004">
      <c r="A11" s="147"/>
      <c r="B11" s="147" t="s">
        <v>145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73">
        <f t="shared" ref="O11:O23" si="0">SUM(C11:N11)</f>
        <v>0</v>
      </c>
    </row>
    <row r="12" spans="1:27" x14ac:dyDescent="0.55000000000000004">
      <c r="A12" s="147" t="s">
        <v>258</v>
      </c>
      <c r="B12" s="10" t="s">
        <v>25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73">
        <f t="shared" si="0"/>
        <v>0</v>
      </c>
    </row>
    <row r="13" spans="1:27" x14ac:dyDescent="0.55000000000000004">
      <c r="A13" s="147" t="s">
        <v>20</v>
      </c>
      <c r="B13" s="151" t="s">
        <v>26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73">
        <f t="shared" si="0"/>
        <v>0</v>
      </c>
    </row>
    <row r="14" spans="1:27" x14ac:dyDescent="0.55000000000000004">
      <c r="A14" s="147" t="s">
        <v>20</v>
      </c>
      <c r="B14" s="151" t="s">
        <v>26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73">
        <f>SUM(C14:N14)</f>
        <v>0</v>
      </c>
    </row>
    <row r="15" spans="1:27" x14ac:dyDescent="0.55000000000000004">
      <c r="A15" s="147"/>
      <c r="B15" s="147" t="s">
        <v>27</v>
      </c>
      <c r="C15" s="157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73">
        <f t="shared" si="0"/>
        <v>0</v>
      </c>
      <c r="P15" s="67"/>
    </row>
    <row r="16" spans="1:27" x14ac:dyDescent="0.55000000000000004">
      <c r="A16" s="147"/>
      <c r="B16" s="147" t="s">
        <v>28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73">
        <f t="shared" si="0"/>
        <v>0</v>
      </c>
    </row>
    <row r="17" spans="1:15" x14ac:dyDescent="0.55000000000000004">
      <c r="A17" s="147" t="s">
        <v>259</v>
      </c>
      <c r="B17" s="147" t="s">
        <v>349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73">
        <f t="shared" si="0"/>
        <v>0</v>
      </c>
    </row>
    <row r="18" spans="1:15" x14ac:dyDescent="0.55000000000000004">
      <c r="A18" s="147"/>
      <c r="B18" s="147" t="s">
        <v>52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8210000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73">
        <f t="shared" si="0"/>
        <v>8210000</v>
      </c>
    </row>
    <row r="19" spans="1:15" x14ac:dyDescent="0.55000000000000004">
      <c r="A19" s="147"/>
      <c r="B19" s="147" t="s">
        <v>52</v>
      </c>
      <c r="C19" s="157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73">
        <f t="shared" si="0"/>
        <v>0</v>
      </c>
    </row>
    <row r="20" spans="1:15" x14ac:dyDescent="0.55000000000000004">
      <c r="A20" s="147" t="s">
        <v>260</v>
      </c>
      <c r="B20" s="10" t="s">
        <v>56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73">
        <f t="shared" si="0"/>
        <v>0</v>
      </c>
    </row>
    <row r="21" spans="1:15" x14ac:dyDescent="0.55000000000000004">
      <c r="A21" s="147" t="s">
        <v>261</v>
      </c>
      <c r="B21" s="10" t="s">
        <v>29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73">
        <f t="shared" si="0"/>
        <v>0</v>
      </c>
    </row>
    <row r="22" spans="1:15" x14ac:dyDescent="0.55000000000000004">
      <c r="A22" s="147" t="s">
        <v>23</v>
      </c>
      <c r="B22" s="147" t="s">
        <v>23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73">
        <f t="shared" si="0"/>
        <v>0</v>
      </c>
    </row>
    <row r="23" spans="1:15" x14ac:dyDescent="0.55000000000000004">
      <c r="A23" s="10"/>
      <c r="B23" s="147"/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73">
        <f t="shared" si="0"/>
        <v>0</v>
      </c>
    </row>
    <row r="24" spans="1:15" x14ac:dyDescent="0.55000000000000004">
      <c r="A24" s="148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73"/>
      <c r="O24" s="73"/>
    </row>
    <row r="25" spans="1:15" x14ac:dyDescent="0.55000000000000004">
      <c r="A25" s="148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73"/>
      <c r="O25" s="73"/>
    </row>
    <row r="26" spans="1:15" x14ac:dyDescent="0.55000000000000004">
      <c r="A26" s="149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3"/>
    </row>
    <row r="27" spans="1:15" x14ac:dyDescent="0.55000000000000004">
      <c r="A27" s="124"/>
      <c r="B27" s="123" t="s">
        <v>9</v>
      </c>
      <c r="C27" s="156">
        <f>SUM(C10:C26)</f>
        <v>0</v>
      </c>
      <c r="D27" s="156">
        <f t="shared" ref="D27:O27" si="1">SUM(D10:D26)</f>
        <v>0</v>
      </c>
      <c r="E27" s="156">
        <f t="shared" si="1"/>
        <v>0</v>
      </c>
      <c r="F27" s="156">
        <f t="shared" si="1"/>
        <v>0</v>
      </c>
      <c r="G27" s="156">
        <f t="shared" si="1"/>
        <v>0</v>
      </c>
      <c r="H27" s="156">
        <f t="shared" si="1"/>
        <v>8210000</v>
      </c>
      <c r="I27" s="156">
        <f t="shared" si="1"/>
        <v>0</v>
      </c>
      <c r="J27" s="156">
        <f t="shared" si="1"/>
        <v>0</v>
      </c>
      <c r="K27" s="156">
        <f t="shared" si="1"/>
        <v>0</v>
      </c>
      <c r="L27" s="156">
        <f t="shared" si="1"/>
        <v>0</v>
      </c>
      <c r="M27" s="156">
        <f t="shared" si="1"/>
        <v>0</v>
      </c>
      <c r="N27" s="154">
        <f t="shared" si="1"/>
        <v>0</v>
      </c>
      <c r="O27" s="155">
        <f t="shared" si="1"/>
        <v>8210000</v>
      </c>
    </row>
    <row r="28" spans="1:15" x14ac:dyDescent="0.55000000000000004">
      <c r="A28" s="7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78"/>
      <c r="O28" s="79"/>
    </row>
    <row r="29" spans="1:15" x14ac:dyDescent="0.55000000000000004">
      <c r="A29" s="7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8"/>
      <c r="O29" s="79"/>
    </row>
    <row r="30" spans="1:15" x14ac:dyDescent="0.55000000000000004">
      <c r="A30" s="7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78"/>
      <c r="O30" s="79"/>
    </row>
    <row r="31" spans="1:15" x14ac:dyDescent="0.55000000000000004">
      <c r="A31" s="7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8"/>
      <c r="O31" s="79"/>
    </row>
    <row r="32" spans="1:15" x14ac:dyDescent="0.55000000000000004">
      <c r="A32" s="7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8"/>
      <c r="O32" s="79"/>
    </row>
    <row r="33" spans="1:15" x14ac:dyDescent="0.55000000000000004">
      <c r="A33" s="7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78"/>
      <c r="O33" s="79"/>
    </row>
    <row r="34" spans="1:15" x14ac:dyDescent="0.55000000000000004">
      <c r="A34" s="7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78"/>
      <c r="O34" s="79"/>
    </row>
    <row r="35" spans="1:15" x14ac:dyDescent="0.55000000000000004">
      <c r="A35" s="7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78"/>
      <c r="O35" s="79"/>
    </row>
    <row r="36" spans="1:15" x14ac:dyDescent="0.55000000000000004">
      <c r="A36" s="7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78"/>
      <c r="O36" s="79"/>
    </row>
    <row r="37" spans="1:15" x14ac:dyDescent="0.55000000000000004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8"/>
      <c r="O37" s="79"/>
    </row>
    <row r="38" spans="1:15" x14ac:dyDescent="0.55000000000000004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78"/>
      <c r="O38" s="79"/>
    </row>
    <row r="39" spans="1:15" x14ac:dyDescent="0.55000000000000004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8"/>
      <c r="O39" s="79"/>
    </row>
    <row r="40" spans="1:15" x14ac:dyDescent="0.55000000000000004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78"/>
      <c r="O40" s="79"/>
    </row>
    <row r="41" spans="1:15" x14ac:dyDescent="0.55000000000000004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78"/>
      <c r="O41" s="79"/>
    </row>
    <row r="42" spans="1:15" x14ac:dyDescent="0.55000000000000004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78"/>
      <c r="O42" s="79"/>
    </row>
    <row r="43" spans="1:15" x14ac:dyDescent="0.55000000000000004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78"/>
      <c r="O43" s="79"/>
    </row>
    <row r="44" spans="1:15" x14ac:dyDescent="0.55000000000000004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78"/>
      <c r="O44" s="79"/>
    </row>
    <row r="45" spans="1:15" x14ac:dyDescent="0.55000000000000004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78"/>
      <c r="O45" s="79"/>
    </row>
    <row r="46" spans="1:15" x14ac:dyDescent="0.55000000000000004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78"/>
      <c r="O46" s="79"/>
    </row>
    <row r="47" spans="1:15" x14ac:dyDescent="0.55000000000000004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78"/>
      <c r="O47" s="79"/>
    </row>
    <row r="48" spans="1:15" x14ac:dyDescent="0.55000000000000004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78"/>
      <c r="O48" s="79"/>
    </row>
    <row r="49" spans="1:15" x14ac:dyDescent="0.55000000000000004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78"/>
      <c r="O49" s="79"/>
    </row>
    <row r="50" spans="1:15" x14ac:dyDescent="0.55000000000000004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78"/>
      <c r="O50" s="79"/>
    </row>
  </sheetData>
  <mergeCells count="19">
    <mergeCell ref="F6:F8"/>
    <mergeCell ref="G6:G8"/>
    <mergeCell ref="H6:H8"/>
    <mergeCell ref="L6:L8"/>
    <mergeCell ref="M6:M8"/>
    <mergeCell ref="A1:O1"/>
    <mergeCell ref="A2:O2"/>
    <mergeCell ref="A3:O3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  <mergeCell ref="E6:E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70" orientation="landscape" horizontalDpi="12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0"/>
  <sheetViews>
    <sheetView workbookViewId="0">
      <pane xSplit="2" ySplit="8" topLeftCell="C12" activePane="bottomRight" state="frozen"/>
      <selection pane="topRight" activeCell="D1" sqref="D1"/>
      <selection pane="bottomLeft" activeCell="A9" sqref="A9"/>
      <selection pane="bottomRight" activeCell="C12" sqref="C12"/>
    </sheetView>
  </sheetViews>
  <sheetFormatPr defaultColWidth="13" defaultRowHeight="24" x14ac:dyDescent="0.55000000000000004"/>
  <cols>
    <col min="1" max="1" width="16.28515625" style="17" customWidth="1"/>
    <col min="2" max="2" width="20.140625" style="17" bestFit="1" customWidth="1"/>
    <col min="3" max="3" width="15.7109375" style="17" bestFit="1" customWidth="1"/>
    <col min="4" max="4" width="14.85546875" style="17" customWidth="1"/>
    <col min="5" max="7" width="14.5703125" style="17" bestFit="1" customWidth="1"/>
    <col min="8" max="8" width="15.7109375" style="17" bestFit="1" customWidth="1"/>
    <col min="9" max="9" width="18.140625" style="17" customWidth="1"/>
    <col min="10" max="10" width="15.85546875" style="17" customWidth="1"/>
    <col min="11" max="11" width="15.42578125" style="17" customWidth="1"/>
    <col min="12" max="12" width="11.5703125" style="17" customWidth="1"/>
    <col min="13" max="13" width="10.7109375" style="17" bestFit="1" customWidth="1"/>
    <col min="14" max="14" width="14.5703125" style="17" bestFit="1" customWidth="1"/>
    <col min="15" max="15" width="15.710937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296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256</v>
      </c>
      <c r="B4" s="284" t="s">
        <v>231</v>
      </c>
      <c r="C4" s="293" t="s">
        <v>229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84"/>
      <c r="O4" s="286" t="s">
        <v>9</v>
      </c>
    </row>
    <row r="5" spans="1:27" ht="21" customHeight="1" x14ac:dyDescent="0.55000000000000004">
      <c r="A5" s="291"/>
      <c r="B5" s="292"/>
      <c r="C5" s="295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2"/>
      <c r="O5" s="291"/>
    </row>
    <row r="6" spans="1:27" ht="21" customHeight="1" x14ac:dyDescent="0.55000000000000004">
      <c r="A6" s="291"/>
      <c r="B6" s="292"/>
      <c r="C6" s="290" t="s">
        <v>93</v>
      </c>
      <c r="D6" s="290" t="s">
        <v>92</v>
      </c>
      <c r="E6" s="290" t="s">
        <v>83</v>
      </c>
      <c r="F6" s="290" t="s">
        <v>64</v>
      </c>
      <c r="G6" s="290" t="s">
        <v>74</v>
      </c>
      <c r="H6" s="290" t="s">
        <v>91</v>
      </c>
      <c r="I6" s="290" t="s">
        <v>350</v>
      </c>
      <c r="J6" s="290" t="s">
        <v>289</v>
      </c>
      <c r="K6" s="290" t="s">
        <v>290</v>
      </c>
      <c r="L6" s="290" t="s">
        <v>291</v>
      </c>
      <c r="M6" s="290" t="s">
        <v>31</v>
      </c>
      <c r="N6" s="290" t="s">
        <v>23</v>
      </c>
      <c r="O6" s="291"/>
    </row>
    <row r="7" spans="1:27" ht="21" customHeight="1" x14ac:dyDescent="0.55000000000000004">
      <c r="A7" s="291"/>
      <c r="B7" s="292"/>
      <c r="C7" s="297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1"/>
    </row>
    <row r="8" spans="1:27" x14ac:dyDescent="0.55000000000000004">
      <c r="A8" s="287"/>
      <c r="B8" s="285"/>
      <c r="C8" s="297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87"/>
    </row>
    <row r="9" spans="1:27" x14ac:dyDescent="0.55000000000000004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257</v>
      </c>
      <c r="B10" s="147" t="s">
        <v>144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73">
        <f>SUM(C10:N10)</f>
        <v>0</v>
      </c>
      <c r="P10" s="67"/>
    </row>
    <row r="11" spans="1:27" x14ac:dyDescent="0.55000000000000004">
      <c r="A11" s="147"/>
      <c r="B11" s="147" t="s">
        <v>145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73">
        <f t="shared" ref="O11:O23" si="0">SUM(C11:N11)</f>
        <v>0</v>
      </c>
    </row>
    <row r="12" spans="1:27" x14ac:dyDescent="0.55000000000000004">
      <c r="A12" s="147" t="s">
        <v>258</v>
      </c>
      <c r="B12" s="10" t="s">
        <v>25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73">
        <f t="shared" si="0"/>
        <v>0</v>
      </c>
    </row>
    <row r="13" spans="1:27" x14ac:dyDescent="0.55000000000000004">
      <c r="A13" s="147" t="s">
        <v>20</v>
      </c>
      <c r="B13" s="151" t="s">
        <v>26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73">
        <f t="shared" si="0"/>
        <v>0</v>
      </c>
    </row>
    <row r="14" spans="1:27" x14ac:dyDescent="0.55000000000000004">
      <c r="A14" s="147" t="s">
        <v>20</v>
      </c>
      <c r="B14" s="151" t="s">
        <v>26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73">
        <f>SUM(C14:N14)</f>
        <v>0</v>
      </c>
    </row>
    <row r="15" spans="1:27" x14ac:dyDescent="0.55000000000000004">
      <c r="A15" s="147"/>
      <c r="B15" s="147" t="s">
        <v>27</v>
      </c>
      <c r="C15" s="157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73">
        <f t="shared" si="0"/>
        <v>0</v>
      </c>
      <c r="P15" s="67"/>
    </row>
    <row r="16" spans="1:27" x14ac:dyDescent="0.55000000000000004">
      <c r="A16" s="147"/>
      <c r="B16" s="147" t="s">
        <v>28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73">
        <f t="shared" si="0"/>
        <v>0</v>
      </c>
    </row>
    <row r="17" spans="1:15" x14ac:dyDescent="0.55000000000000004">
      <c r="A17" s="147" t="s">
        <v>259</v>
      </c>
      <c r="B17" s="147" t="s">
        <v>349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73">
        <f t="shared" si="0"/>
        <v>0</v>
      </c>
    </row>
    <row r="18" spans="1:15" x14ac:dyDescent="0.55000000000000004">
      <c r="A18" s="147"/>
      <c r="B18" s="147" t="s">
        <v>52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73">
        <f t="shared" si="0"/>
        <v>0</v>
      </c>
    </row>
    <row r="19" spans="1:15" x14ac:dyDescent="0.55000000000000004">
      <c r="A19" s="147"/>
      <c r="B19" s="147" t="s">
        <v>52</v>
      </c>
      <c r="C19" s="157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73">
        <f t="shared" si="0"/>
        <v>0</v>
      </c>
    </row>
    <row r="20" spans="1:15" x14ac:dyDescent="0.55000000000000004">
      <c r="A20" s="147" t="s">
        <v>260</v>
      </c>
      <c r="B20" s="10" t="s">
        <v>56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73">
        <f t="shared" si="0"/>
        <v>0</v>
      </c>
    </row>
    <row r="21" spans="1:15" x14ac:dyDescent="0.55000000000000004">
      <c r="A21" s="147" t="s">
        <v>261</v>
      </c>
      <c r="B21" s="10" t="s">
        <v>29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73">
        <f t="shared" si="0"/>
        <v>0</v>
      </c>
    </row>
    <row r="22" spans="1:15" x14ac:dyDescent="0.55000000000000004">
      <c r="A22" s="147" t="s">
        <v>23</v>
      </c>
      <c r="B22" s="147" t="s">
        <v>23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73">
        <f t="shared" si="0"/>
        <v>0</v>
      </c>
    </row>
    <row r="23" spans="1:15" x14ac:dyDescent="0.55000000000000004">
      <c r="A23" s="10"/>
      <c r="B23" s="147"/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73">
        <f t="shared" si="0"/>
        <v>0</v>
      </c>
    </row>
    <row r="24" spans="1:15" x14ac:dyDescent="0.55000000000000004">
      <c r="A24" s="148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73"/>
      <c r="O24" s="73"/>
    </row>
    <row r="25" spans="1:15" x14ac:dyDescent="0.55000000000000004">
      <c r="A25" s="148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73"/>
      <c r="O25" s="73"/>
    </row>
    <row r="26" spans="1:15" x14ac:dyDescent="0.55000000000000004">
      <c r="A26" s="149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3"/>
    </row>
    <row r="27" spans="1:15" x14ac:dyDescent="0.55000000000000004">
      <c r="A27" s="124"/>
      <c r="B27" s="123" t="s">
        <v>9</v>
      </c>
      <c r="C27" s="156">
        <f>SUM(C10:C26)</f>
        <v>0</v>
      </c>
      <c r="D27" s="156">
        <f t="shared" ref="D27:O27" si="1">SUM(D10:D26)</f>
        <v>0</v>
      </c>
      <c r="E27" s="156">
        <f t="shared" si="1"/>
        <v>0</v>
      </c>
      <c r="F27" s="156">
        <f t="shared" si="1"/>
        <v>0</v>
      </c>
      <c r="G27" s="156">
        <f t="shared" si="1"/>
        <v>0</v>
      </c>
      <c r="H27" s="156">
        <f t="shared" si="1"/>
        <v>0</v>
      </c>
      <c r="I27" s="156">
        <f t="shared" si="1"/>
        <v>0</v>
      </c>
      <c r="J27" s="156">
        <f t="shared" si="1"/>
        <v>0</v>
      </c>
      <c r="K27" s="156">
        <f t="shared" si="1"/>
        <v>0</v>
      </c>
      <c r="L27" s="156">
        <f t="shared" si="1"/>
        <v>0</v>
      </c>
      <c r="M27" s="156">
        <f t="shared" si="1"/>
        <v>0</v>
      </c>
      <c r="N27" s="154">
        <f t="shared" si="1"/>
        <v>0</v>
      </c>
      <c r="O27" s="155">
        <f t="shared" si="1"/>
        <v>0</v>
      </c>
    </row>
    <row r="28" spans="1:15" x14ac:dyDescent="0.55000000000000004">
      <c r="A28" s="7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78"/>
      <c r="O28" s="79"/>
    </row>
    <row r="29" spans="1:15" x14ac:dyDescent="0.55000000000000004">
      <c r="A29" s="7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8"/>
      <c r="O29" s="79"/>
    </row>
    <row r="30" spans="1:15" x14ac:dyDescent="0.55000000000000004">
      <c r="A30" s="7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78"/>
      <c r="O30" s="79"/>
    </row>
    <row r="31" spans="1:15" x14ac:dyDescent="0.55000000000000004">
      <c r="A31" s="7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8"/>
      <c r="O31" s="79"/>
    </row>
    <row r="32" spans="1:15" x14ac:dyDescent="0.55000000000000004">
      <c r="A32" s="7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8"/>
      <c r="O32" s="79"/>
    </row>
    <row r="33" spans="1:15" x14ac:dyDescent="0.55000000000000004">
      <c r="A33" s="7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78"/>
      <c r="O33" s="79"/>
    </row>
    <row r="34" spans="1:15" x14ac:dyDescent="0.55000000000000004">
      <c r="A34" s="7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78"/>
      <c r="O34" s="79"/>
    </row>
    <row r="35" spans="1:15" x14ac:dyDescent="0.55000000000000004">
      <c r="A35" s="7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78"/>
      <c r="O35" s="79"/>
    </row>
    <row r="36" spans="1:15" x14ac:dyDescent="0.55000000000000004">
      <c r="A36" s="7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78"/>
      <c r="O36" s="79"/>
    </row>
    <row r="37" spans="1:15" x14ac:dyDescent="0.55000000000000004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8"/>
      <c r="O37" s="79"/>
    </row>
    <row r="38" spans="1:15" x14ac:dyDescent="0.55000000000000004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78"/>
      <c r="O38" s="79"/>
    </row>
    <row r="39" spans="1:15" x14ac:dyDescent="0.55000000000000004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8"/>
      <c r="O39" s="79"/>
    </row>
    <row r="40" spans="1:15" x14ac:dyDescent="0.55000000000000004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78"/>
      <c r="O40" s="79"/>
    </row>
    <row r="41" spans="1:15" x14ac:dyDescent="0.55000000000000004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78"/>
      <c r="O41" s="79"/>
    </row>
    <row r="42" spans="1:15" x14ac:dyDescent="0.55000000000000004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78"/>
      <c r="O42" s="79"/>
    </row>
    <row r="43" spans="1:15" x14ac:dyDescent="0.55000000000000004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78"/>
      <c r="O43" s="79"/>
    </row>
    <row r="44" spans="1:15" x14ac:dyDescent="0.55000000000000004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78"/>
      <c r="O44" s="79"/>
    </row>
    <row r="45" spans="1:15" x14ac:dyDescent="0.55000000000000004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78"/>
      <c r="O45" s="79"/>
    </row>
    <row r="46" spans="1:15" x14ac:dyDescent="0.55000000000000004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78"/>
      <c r="O46" s="79"/>
    </row>
    <row r="47" spans="1:15" x14ac:dyDescent="0.55000000000000004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78"/>
      <c r="O47" s="79"/>
    </row>
    <row r="48" spans="1:15" x14ac:dyDescent="0.55000000000000004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78"/>
      <c r="O48" s="79"/>
    </row>
    <row r="49" spans="1:15" x14ac:dyDescent="0.55000000000000004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78"/>
      <c r="O49" s="79"/>
    </row>
    <row r="50" spans="1:15" x14ac:dyDescent="0.55000000000000004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78"/>
      <c r="O50" s="79"/>
    </row>
  </sheetData>
  <mergeCells count="19">
    <mergeCell ref="F6:F8"/>
    <mergeCell ref="G6:G8"/>
    <mergeCell ref="H6:H8"/>
    <mergeCell ref="L6:L8"/>
    <mergeCell ref="M6:M8"/>
    <mergeCell ref="A1:O1"/>
    <mergeCell ref="A2:O2"/>
    <mergeCell ref="A3:O3"/>
    <mergeCell ref="N6:N8"/>
    <mergeCell ref="A4:A8"/>
    <mergeCell ref="B4:B8"/>
    <mergeCell ref="C4:N5"/>
    <mergeCell ref="O4:O8"/>
    <mergeCell ref="I6:I8"/>
    <mergeCell ref="J6:J8"/>
    <mergeCell ref="K6:K8"/>
    <mergeCell ref="C6:C8"/>
    <mergeCell ref="D6:D8"/>
    <mergeCell ref="E6:E8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65" orientation="landscape" horizontalDpi="12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05"/>
  <sheetViews>
    <sheetView showWhiteSpace="0" zoomScale="90" zoomScaleNormal="90" workbookViewId="0">
      <selection activeCell="C10" sqref="C10"/>
    </sheetView>
  </sheetViews>
  <sheetFormatPr defaultColWidth="13" defaultRowHeight="24" x14ac:dyDescent="0.55000000000000004"/>
  <cols>
    <col min="1" max="1" width="45.7109375" style="17" customWidth="1"/>
    <col min="2" max="2" width="24.7109375" style="16" customWidth="1"/>
    <col min="3" max="3" width="30.7109375" style="17" customWidth="1"/>
    <col min="4" max="4" width="35.7109375" style="17" customWidth="1"/>
    <col min="5" max="5" width="8.5703125" style="3" customWidth="1"/>
    <col min="6" max="16384" width="13" style="3"/>
  </cols>
  <sheetData>
    <row r="1" spans="1:5" x14ac:dyDescent="0.55000000000000004">
      <c r="A1" s="259" t="s">
        <v>30</v>
      </c>
      <c r="B1" s="259"/>
      <c r="C1" s="259"/>
      <c r="D1" s="259"/>
    </row>
    <row r="2" spans="1:5" x14ac:dyDescent="0.55000000000000004">
      <c r="A2" s="259" t="s">
        <v>214</v>
      </c>
      <c r="B2" s="259"/>
      <c r="C2" s="259"/>
      <c r="D2" s="259"/>
      <c r="E2" s="5"/>
    </row>
    <row r="3" spans="1:5" x14ac:dyDescent="0.55000000000000004">
      <c r="A3" s="259" t="s">
        <v>768</v>
      </c>
      <c r="B3" s="259"/>
      <c r="C3" s="259"/>
      <c r="D3" s="259"/>
      <c r="E3" s="5"/>
    </row>
    <row r="4" spans="1:5" x14ac:dyDescent="0.55000000000000004">
      <c r="A4" s="268" t="s">
        <v>342</v>
      </c>
      <c r="B4" s="268"/>
      <c r="C4" s="268"/>
      <c r="D4" s="268"/>
      <c r="E4" s="8"/>
    </row>
    <row r="5" spans="1:5" x14ac:dyDescent="0.55000000000000004">
      <c r="A5" s="18" t="s">
        <v>203</v>
      </c>
      <c r="B5" s="18" t="s">
        <v>33</v>
      </c>
      <c r="C5" s="266" t="s">
        <v>343</v>
      </c>
      <c r="D5" s="267"/>
      <c r="E5" s="6"/>
    </row>
    <row r="6" spans="1:5" x14ac:dyDescent="0.55000000000000004">
      <c r="A6" s="19"/>
      <c r="B6" s="20"/>
      <c r="C6" s="21" t="s">
        <v>34</v>
      </c>
      <c r="D6" s="21" t="s">
        <v>35</v>
      </c>
      <c r="E6" s="6"/>
    </row>
    <row r="7" spans="1:5" x14ac:dyDescent="0.55000000000000004">
      <c r="A7" s="63" t="s">
        <v>36</v>
      </c>
      <c r="B7" s="62"/>
      <c r="C7" s="23"/>
      <c r="D7" s="39"/>
      <c r="E7" s="7"/>
    </row>
    <row r="8" spans="1:5" x14ac:dyDescent="0.55000000000000004">
      <c r="A8" s="52" t="s">
        <v>37</v>
      </c>
      <c r="B8" s="168">
        <v>11614000</v>
      </c>
      <c r="C8" s="52" t="s">
        <v>40</v>
      </c>
      <c r="D8" s="26">
        <v>41594957.649999999</v>
      </c>
      <c r="E8" s="7"/>
    </row>
    <row r="9" spans="1:5" x14ac:dyDescent="0.55000000000000004">
      <c r="A9" s="25" t="s">
        <v>60</v>
      </c>
      <c r="B9" s="26">
        <v>24210424</v>
      </c>
      <c r="C9" s="25" t="s">
        <v>106</v>
      </c>
      <c r="D9" s="26">
        <v>541600</v>
      </c>
      <c r="E9" s="7"/>
    </row>
    <row r="10" spans="1:5" x14ac:dyDescent="0.55000000000000004">
      <c r="A10" s="25" t="s">
        <v>95</v>
      </c>
      <c r="B10" s="26">
        <v>2445222</v>
      </c>
      <c r="C10" s="25" t="s">
        <v>107</v>
      </c>
      <c r="D10" s="26">
        <v>3043644.75</v>
      </c>
      <c r="E10" s="7"/>
    </row>
    <row r="11" spans="1:5" x14ac:dyDescent="0.55000000000000004">
      <c r="A11" s="25" t="s">
        <v>94</v>
      </c>
      <c r="B11" s="26">
        <v>589698.4</v>
      </c>
      <c r="C11" s="25" t="s">
        <v>108</v>
      </c>
      <c r="D11" s="26">
        <v>3618780</v>
      </c>
      <c r="E11" s="7"/>
    </row>
    <row r="12" spans="1:5" x14ac:dyDescent="0.55000000000000004">
      <c r="A12" s="25" t="s">
        <v>96</v>
      </c>
      <c r="B12" s="26">
        <v>357000</v>
      </c>
      <c r="C12" s="25" t="s">
        <v>109</v>
      </c>
      <c r="D12" s="26">
        <v>17820000</v>
      </c>
      <c r="E12" s="7"/>
    </row>
    <row r="13" spans="1:5" x14ac:dyDescent="0.55000000000000004">
      <c r="A13" s="25" t="s">
        <v>97</v>
      </c>
      <c r="B13" s="26">
        <v>100000</v>
      </c>
      <c r="C13" s="25" t="s">
        <v>339</v>
      </c>
      <c r="D13" s="26">
        <v>279000</v>
      </c>
      <c r="E13" s="7"/>
    </row>
    <row r="14" spans="1:5" x14ac:dyDescent="0.55000000000000004">
      <c r="A14" s="25" t="s">
        <v>98</v>
      </c>
      <c r="B14" s="26">
        <v>969000</v>
      </c>
      <c r="C14" s="25" t="s">
        <v>340</v>
      </c>
      <c r="D14" s="59"/>
      <c r="E14" s="7"/>
    </row>
    <row r="15" spans="1:5" x14ac:dyDescent="0.55000000000000004">
      <c r="A15" s="25" t="s">
        <v>99</v>
      </c>
      <c r="B15" s="26">
        <f>149000+20000</f>
        <v>169000</v>
      </c>
      <c r="C15" s="25"/>
      <c r="D15" s="59"/>
      <c r="E15" s="7"/>
    </row>
    <row r="16" spans="1:5" x14ac:dyDescent="0.55000000000000004">
      <c r="A16" s="25" t="s">
        <v>100</v>
      </c>
      <c r="B16" s="26">
        <f>3939000+300400</f>
        <v>4239400</v>
      </c>
      <c r="C16" s="25"/>
      <c r="D16" s="59"/>
      <c r="E16" s="7"/>
    </row>
    <row r="17" spans="1:5" x14ac:dyDescent="0.55000000000000004">
      <c r="A17" s="25" t="s">
        <v>101</v>
      </c>
      <c r="B17" s="26">
        <f>75000+542000</f>
        <v>617000</v>
      </c>
      <c r="C17" s="25"/>
      <c r="D17" s="60"/>
      <c r="E17" s="7"/>
    </row>
    <row r="18" spans="1:5" x14ac:dyDescent="0.55000000000000004">
      <c r="A18" s="25" t="s">
        <v>172</v>
      </c>
      <c r="B18" s="26">
        <v>1000980</v>
      </c>
      <c r="C18" s="25"/>
      <c r="D18" s="60"/>
      <c r="E18" s="7"/>
    </row>
    <row r="19" spans="1:5" x14ac:dyDescent="0.55000000000000004">
      <c r="A19" s="25" t="s">
        <v>337</v>
      </c>
      <c r="B19" s="26">
        <v>199500</v>
      </c>
      <c r="C19" s="25"/>
      <c r="D19" s="60"/>
      <c r="E19" s="7"/>
    </row>
    <row r="20" spans="1:5" x14ac:dyDescent="0.55000000000000004">
      <c r="A20" s="25" t="s">
        <v>338</v>
      </c>
      <c r="B20" s="26">
        <v>79500</v>
      </c>
      <c r="C20" s="25"/>
      <c r="D20" s="60"/>
      <c r="E20" s="7"/>
    </row>
    <row r="21" spans="1:5" x14ac:dyDescent="0.55000000000000004">
      <c r="A21" s="64" t="s">
        <v>38</v>
      </c>
      <c r="B21" s="26"/>
      <c r="C21" s="25"/>
      <c r="D21" s="60"/>
      <c r="E21" s="7"/>
    </row>
    <row r="22" spans="1:5" x14ac:dyDescent="0.55000000000000004">
      <c r="A22" s="25" t="s">
        <v>102</v>
      </c>
      <c r="B22" s="26">
        <v>12784363</v>
      </c>
      <c r="C22" s="25"/>
      <c r="D22" s="60"/>
      <c r="E22" s="7"/>
    </row>
    <row r="23" spans="1:5" x14ac:dyDescent="0.55000000000000004">
      <c r="A23" s="25" t="s">
        <v>39</v>
      </c>
      <c r="B23" s="26"/>
      <c r="C23" s="25"/>
      <c r="D23" s="60"/>
      <c r="E23" s="7"/>
    </row>
    <row r="24" spans="1:5" x14ac:dyDescent="0.55000000000000004">
      <c r="A24" s="25" t="s">
        <v>85</v>
      </c>
      <c r="B24" s="26">
        <v>19700</v>
      </c>
      <c r="C24" s="25"/>
      <c r="D24" s="60"/>
      <c r="E24" s="7"/>
    </row>
    <row r="25" spans="1:5" x14ac:dyDescent="0.55000000000000004">
      <c r="A25" s="25" t="s">
        <v>86</v>
      </c>
      <c r="B25" s="26">
        <v>49639.5</v>
      </c>
      <c r="C25" s="25"/>
      <c r="D25" s="60"/>
      <c r="E25" s="7"/>
    </row>
    <row r="26" spans="1:5" x14ac:dyDescent="0.55000000000000004">
      <c r="A26" s="25" t="s">
        <v>87</v>
      </c>
      <c r="B26" s="26">
        <v>446000</v>
      </c>
      <c r="C26" s="25"/>
      <c r="D26" s="60"/>
      <c r="E26" s="7"/>
    </row>
    <row r="27" spans="1:5" x14ac:dyDescent="0.55000000000000004">
      <c r="A27" s="25" t="s">
        <v>103</v>
      </c>
      <c r="B27" s="26">
        <v>241556</v>
      </c>
      <c r="C27" s="25"/>
      <c r="D27" s="60"/>
      <c r="E27" s="7"/>
    </row>
    <row r="28" spans="1:5" x14ac:dyDescent="0.55000000000000004">
      <c r="A28" s="25" t="s">
        <v>104</v>
      </c>
      <c r="B28" s="26">
        <v>4171579.5</v>
      </c>
      <c r="C28" s="25"/>
      <c r="D28" s="60"/>
      <c r="E28" s="7"/>
    </row>
    <row r="29" spans="1:5" x14ac:dyDescent="0.55000000000000004">
      <c r="A29" s="25" t="s">
        <v>105</v>
      </c>
      <c r="B29" s="26">
        <v>118800</v>
      </c>
      <c r="C29" s="25"/>
      <c r="D29" s="60"/>
      <c r="E29" s="7"/>
    </row>
    <row r="30" spans="1:5" x14ac:dyDescent="0.55000000000000004">
      <c r="A30" s="25" t="s">
        <v>128</v>
      </c>
      <c r="B30" s="26">
        <v>76500</v>
      </c>
      <c r="C30" s="25"/>
      <c r="D30" s="60"/>
      <c r="E30" s="7"/>
    </row>
    <row r="31" spans="1:5" x14ac:dyDescent="0.55000000000000004">
      <c r="A31" s="25" t="s">
        <v>158</v>
      </c>
      <c r="B31" s="26">
        <v>74000</v>
      </c>
      <c r="C31" s="25"/>
      <c r="D31" s="60"/>
      <c r="E31" s="7"/>
    </row>
    <row r="32" spans="1:5" x14ac:dyDescent="0.55000000000000004">
      <c r="A32" s="25" t="s">
        <v>169</v>
      </c>
      <c r="B32" s="26">
        <v>7500</v>
      </c>
      <c r="C32" s="25"/>
      <c r="D32" s="60"/>
      <c r="E32" s="7"/>
    </row>
    <row r="33" spans="1:7" x14ac:dyDescent="0.55000000000000004">
      <c r="A33" s="25" t="s">
        <v>159</v>
      </c>
      <c r="B33" s="29">
        <v>60700</v>
      </c>
      <c r="C33" s="25"/>
      <c r="D33" s="60"/>
      <c r="E33" s="7"/>
    </row>
    <row r="34" spans="1:7" x14ac:dyDescent="0.55000000000000004">
      <c r="A34" s="25" t="s">
        <v>173</v>
      </c>
      <c r="B34" s="29">
        <v>493400</v>
      </c>
      <c r="C34" s="25"/>
      <c r="D34" s="60"/>
      <c r="E34" s="7"/>
    </row>
    <row r="35" spans="1:7" x14ac:dyDescent="0.55000000000000004">
      <c r="A35" s="25" t="s">
        <v>174</v>
      </c>
      <c r="B35" s="29">
        <v>80670</v>
      </c>
      <c r="C35" s="25"/>
      <c r="D35" s="60"/>
      <c r="E35" s="7"/>
    </row>
    <row r="36" spans="1:7" x14ac:dyDescent="0.55000000000000004">
      <c r="A36" s="30" t="s">
        <v>175</v>
      </c>
      <c r="B36" s="29">
        <v>1577850</v>
      </c>
      <c r="C36" s="25"/>
      <c r="D36" s="60"/>
      <c r="E36" s="7"/>
    </row>
    <row r="37" spans="1:7" x14ac:dyDescent="0.55000000000000004">
      <c r="A37" s="30" t="s">
        <v>766</v>
      </c>
      <c r="B37" s="29">
        <v>45000</v>
      </c>
      <c r="C37" s="25"/>
      <c r="D37" s="60"/>
      <c r="E37" s="7"/>
    </row>
    <row r="38" spans="1:7" x14ac:dyDescent="0.55000000000000004">
      <c r="A38" s="30" t="s">
        <v>767</v>
      </c>
      <c r="B38" s="26">
        <v>60000</v>
      </c>
      <c r="C38" s="25"/>
      <c r="D38" s="60"/>
      <c r="E38" s="7"/>
    </row>
    <row r="39" spans="1:7" x14ac:dyDescent="0.55000000000000004">
      <c r="A39" s="10"/>
      <c r="B39" s="61"/>
      <c r="C39" s="10"/>
      <c r="D39" s="24"/>
      <c r="E39" s="7"/>
    </row>
    <row r="40" spans="1:7" x14ac:dyDescent="0.55000000000000004">
      <c r="A40" s="21" t="s">
        <v>9</v>
      </c>
      <c r="B40" s="31">
        <f>SUM(B8:B39)</f>
        <v>66897982.399999999</v>
      </c>
      <c r="C40" s="32"/>
      <c r="D40" s="31">
        <f>SUM(D8:D39)</f>
        <v>66897982.399999999</v>
      </c>
      <c r="E40" s="7"/>
    </row>
    <row r="41" spans="1:7" x14ac:dyDescent="0.55000000000000004">
      <c r="A41" s="33"/>
      <c r="B41" s="34"/>
      <c r="C41" s="35"/>
      <c r="D41" s="34"/>
      <c r="E41" s="7"/>
    </row>
    <row r="42" spans="1:7" x14ac:dyDescent="0.55000000000000004">
      <c r="A42" s="36"/>
      <c r="B42" s="37"/>
      <c r="C42" s="38"/>
      <c r="D42" s="37"/>
      <c r="E42" s="7"/>
    </row>
    <row r="43" spans="1:7" s="4" customFormat="1" x14ac:dyDescent="0.55000000000000004">
      <c r="A43" s="14" t="s">
        <v>147</v>
      </c>
      <c r="B43" s="264" t="s">
        <v>148</v>
      </c>
      <c r="C43" s="264"/>
      <c r="D43" s="14" t="s">
        <v>147</v>
      </c>
      <c r="E43" s="14"/>
      <c r="F43" s="14"/>
      <c r="G43" s="14"/>
    </row>
    <row r="44" spans="1:7" s="4" customFormat="1" x14ac:dyDescent="0.55000000000000004">
      <c r="A44" s="15" t="s">
        <v>192</v>
      </c>
      <c r="B44" s="259" t="s">
        <v>341</v>
      </c>
      <c r="C44" s="259"/>
      <c r="D44" s="15" t="s">
        <v>193</v>
      </c>
      <c r="E44" s="15"/>
      <c r="F44" s="15"/>
      <c r="G44" s="15"/>
    </row>
    <row r="45" spans="1:7" x14ac:dyDescent="0.55000000000000004">
      <c r="A45" s="15" t="s">
        <v>171</v>
      </c>
      <c r="B45" s="259" t="s">
        <v>126</v>
      </c>
      <c r="C45" s="259"/>
      <c r="D45" s="15" t="s">
        <v>127</v>
      </c>
      <c r="E45" s="15"/>
      <c r="F45" s="15"/>
      <c r="G45" s="15"/>
    </row>
    <row r="46" spans="1:7" x14ac:dyDescent="0.55000000000000004">
      <c r="A46" s="15"/>
      <c r="B46" s="259"/>
      <c r="C46" s="259"/>
      <c r="D46" s="15"/>
      <c r="E46" s="15"/>
      <c r="F46" s="15"/>
      <c r="G46" s="17"/>
    </row>
    <row r="47" spans="1:7" x14ac:dyDescent="0.55000000000000004">
      <c r="A47" s="36"/>
      <c r="B47" s="37"/>
      <c r="C47" s="38"/>
      <c r="D47" s="37"/>
      <c r="E47" s="7"/>
    </row>
    <row r="48" spans="1:7" x14ac:dyDescent="0.55000000000000004">
      <c r="A48" s="36"/>
      <c r="B48" s="37"/>
      <c r="C48" s="38"/>
      <c r="D48" s="37"/>
      <c r="E48" s="7"/>
    </row>
    <row r="49" spans="1:5" x14ac:dyDescent="0.55000000000000004">
      <c r="A49" s="36"/>
      <c r="B49" s="37"/>
      <c r="C49" s="38"/>
      <c r="D49" s="37"/>
      <c r="E49" s="7"/>
    </row>
    <row r="50" spans="1:5" x14ac:dyDescent="0.55000000000000004">
      <c r="A50" s="36"/>
      <c r="B50" s="37"/>
      <c r="C50" s="38"/>
      <c r="D50" s="37"/>
      <c r="E50" s="7"/>
    </row>
    <row r="51" spans="1:5" x14ac:dyDescent="0.55000000000000004">
      <c r="A51" s="36"/>
      <c r="B51" s="37"/>
      <c r="C51" s="38"/>
      <c r="D51" s="37"/>
      <c r="E51" s="7"/>
    </row>
    <row r="52" spans="1:5" x14ac:dyDescent="0.55000000000000004">
      <c r="A52" s="36"/>
      <c r="B52" s="37"/>
      <c r="C52" s="38"/>
      <c r="D52" s="37"/>
      <c r="E52" s="7"/>
    </row>
    <row r="53" spans="1:5" x14ac:dyDescent="0.55000000000000004">
      <c r="A53" s="36"/>
      <c r="B53" s="37"/>
      <c r="C53" s="38"/>
      <c r="D53" s="37"/>
      <c r="E53" s="7"/>
    </row>
    <row r="54" spans="1:5" x14ac:dyDescent="0.55000000000000004">
      <c r="A54" s="36"/>
      <c r="B54" s="37"/>
      <c r="C54" s="38"/>
      <c r="D54" s="37"/>
      <c r="E54" s="7"/>
    </row>
    <row r="55" spans="1:5" x14ac:dyDescent="0.55000000000000004">
      <c r="A55" s="36"/>
      <c r="B55" s="37"/>
      <c r="C55" s="38"/>
      <c r="D55" s="37"/>
      <c r="E55" s="7"/>
    </row>
    <row r="56" spans="1:5" x14ac:dyDescent="0.55000000000000004">
      <c r="A56" s="36"/>
      <c r="B56" s="37"/>
      <c r="C56" s="38"/>
      <c r="D56" s="37"/>
      <c r="E56" s="7"/>
    </row>
    <row r="57" spans="1:5" x14ac:dyDescent="0.55000000000000004">
      <c r="A57" s="36"/>
      <c r="B57" s="37"/>
      <c r="C57" s="38"/>
      <c r="D57" s="37"/>
      <c r="E57" s="7"/>
    </row>
    <row r="58" spans="1:5" x14ac:dyDescent="0.55000000000000004">
      <c r="A58" s="265" t="s">
        <v>30</v>
      </c>
      <c r="B58" s="265"/>
      <c r="C58" s="265"/>
      <c r="D58" s="265"/>
      <c r="E58" s="5"/>
    </row>
    <row r="59" spans="1:5" x14ac:dyDescent="0.55000000000000004">
      <c r="A59" s="265" t="s">
        <v>111</v>
      </c>
      <c r="B59" s="265"/>
      <c r="C59" s="265"/>
      <c r="D59" s="265"/>
      <c r="E59" s="5"/>
    </row>
    <row r="60" spans="1:5" x14ac:dyDescent="0.55000000000000004">
      <c r="A60" s="265" t="s">
        <v>110</v>
      </c>
      <c r="B60" s="265"/>
      <c r="C60" s="265"/>
      <c r="D60" s="265"/>
      <c r="E60" s="8"/>
    </row>
    <row r="61" spans="1:5" x14ac:dyDescent="0.55000000000000004">
      <c r="A61" s="36"/>
      <c r="B61" s="36"/>
      <c r="C61" s="36"/>
      <c r="D61" s="36"/>
      <c r="E61" s="8"/>
    </row>
    <row r="62" spans="1:5" x14ac:dyDescent="0.55000000000000004">
      <c r="A62" s="23" t="s">
        <v>61</v>
      </c>
      <c r="B62" s="35"/>
      <c r="C62" s="23"/>
      <c r="D62" s="39"/>
      <c r="E62" s="7"/>
    </row>
    <row r="63" spans="1:5" x14ac:dyDescent="0.55000000000000004">
      <c r="A63" s="10" t="s">
        <v>36</v>
      </c>
      <c r="B63" s="38"/>
      <c r="C63" s="10"/>
      <c r="D63" s="24"/>
      <c r="E63" s="7"/>
    </row>
    <row r="64" spans="1:5" x14ac:dyDescent="0.55000000000000004">
      <c r="A64" s="10" t="s">
        <v>37</v>
      </c>
      <c r="B64" s="40">
        <v>7500000</v>
      </c>
      <c r="C64" s="10" t="s">
        <v>40</v>
      </c>
      <c r="D64" s="27">
        <f>7500000+1900000+35170+24128.5+24000+13350+151492</f>
        <v>9648140.5</v>
      </c>
      <c r="E64" s="7"/>
    </row>
    <row r="65" spans="1:5" x14ac:dyDescent="0.55000000000000004">
      <c r="A65" s="10" t="s">
        <v>60</v>
      </c>
      <c r="B65" s="40">
        <f>17820000+1900000</f>
        <v>19720000</v>
      </c>
      <c r="C65" s="10" t="s">
        <v>41</v>
      </c>
      <c r="D65" s="27">
        <v>17820000</v>
      </c>
      <c r="E65" s="7"/>
    </row>
    <row r="66" spans="1:5" x14ac:dyDescent="0.55000000000000004">
      <c r="A66" s="10" t="s">
        <v>38</v>
      </c>
      <c r="C66" s="10"/>
      <c r="D66" s="27"/>
      <c r="E66" s="7"/>
    </row>
    <row r="67" spans="1:5" x14ac:dyDescent="0.55000000000000004">
      <c r="A67" s="10" t="s">
        <v>72</v>
      </c>
      <c r="B67" s="40">
        <v>35170</v>
      </c>
      <c r="C67" s="10"/>
      <c r="D67" s="27"/>
      <c r="E67" s="7"/>
    </row>
    <row r="68" spans="1:5" x14ac:dyDescent="0.55000000000000004">
      <c r="A68" s="10" t="s">
        <v>65</v>
      </c>
      <c r="C68" s="10"/>
      <c r="D68" s="24"/>
      <c r="E68" s="7"/>
    </row>
    <row r="69" spans="1:5" x14ac:dyDescent="0.55000000000000004">
      <c r="A69" s="10" t="s">
        <v>85</v>
      </c>
      <c r="B69" s="40">
        <v>24128.5</v>
      </c>
      <c r="C69" s="10"/>
      <c r="D69" s="24"/>
      <c r="E69" s="7"/>
    </row>
    <row r="70" spans="1:5" x14ac:dyDescent="0.55000000000000004">
      <c r="A70" s="10" t="s">
        <v>86</v>
      </c>
      <c r="B70" s="40">
        <v>24000</v>
      </c>
      <c r="C70" s="10"/>
      <c r="D70" s="24"/>
      <c r="E70" s="7"/>
    </row>
    <row r="71" spans="1:5" x14ac:dyDescent="0.55000000000000004">
      <c r="A71" s="10" t="s">
        <v>87</v>
      </c>
      <c r="B71" s="40">
        <v>13350</v>
      </c>
      <c r="C71" s="10"/>
      <c r="D71" s="24"/>
      <c r="E71" s="7"/>
    </row>
    <row r="72" spans="1:5" x14ac:dyDescent="0.55000000000000004">
      <c r="A72" s="10" t="s">
        <v>88</v>
      </c>
      <c r="B72" s="40">
        <v>0</v>
      </c>
      <c r="C72" s="10"/>
      <c r="D72" s="24"/>
      <c r="E72" s="7"/>
    </row>
    <row r="73" spans="1:5" x14ac:dyDescent="0.55000000000000004">
      <c r="A73" s="10" t="s">
        <v>62</v>
      </c>
      <c r="B73" s="40">
        <f>59500+58900+2600+5992+24500</f>
        <v>151492</v>
      </c>
      <c r="C73" s="10"/>
      <c r="D73" s="41"/>
      <c r="E73" s="7"/>
    </row>
    <row r="74" spans="1:5" x14ac:dyDescent="0.55000000000000004">
      <c r="A74" s="10"/>
      <c r="C74" s="10"/>
      <c r="D74" s="24"/>
      <c r="E74" s="7"/>
    </row>
    <row r="75" spans="1:5" ht="24.75" thickBot="1" x14ac:dyDescent="0.6">
      <c r="A75" s="11"/>
      <c r="B75" s="42">
        <f>SUM(B40:B74)</f>
        <v>94366122.900000006</v>
      </c>
      <c r="C75" s="43"/>
      <c r="D75" s="44">
        <f>SUM(D40:D74)</f>
        <v>94366122.900000006</v>
      </c>
      <c r="E75" s="7"/>
    </row>
    <row r="76" spans="1:5" ht="24.75" thickTop="1" x14ac:dyDescent="0.55000000000000004"/>
    <row r="77" spans="1:5" x14ac:dyDescent="0.55000000000000004">
      <c r="A77" s="14" t="s">
        <v>43</v>
      </c>
      <c r="B77" s="16" t="s">
        <v>46</v>
      </c>
      <c r="D77" s="17" t="s">
        <v>44</v>
      </c>
    </row>
    <row r="78" spans="1:5" x14ac:dyDescent="0.55000000000000004">
      <c r="A78" s="14" t="s">
        <v>42</v>
      </c>
      <c r="B78" s="45" t="s">
        <v>47</v>
      </c>
      <c r="D78" s="17" t="s">
        <v>45</v>
      </c>
    </row>
    <row r="103" spans="1:5" x14ac:dyDescent="0.55000000000000004">
      <c r="A103" s="265" t="s">
        <v>30</v>
      </c>
      <c r="B103" s="265"/>
      <c r="C103" s="265"/>
      <c r="D103" s="265"/>
      <c r="E103" s="5"/>
    </row>
    <row r="104" spans="1:5" x14ac:dyDescent="0.55000000000000004">
      <c r="A104" s="265" t="s">
        <v>112</v>
      </c>
      <c r="B104" s="265"/>
      <c r="C104" s="265"/>
      <c r="D104" s="265"/>
      <c r="E104" s="5"/>
    </row>
    <row r="105" spans="1:5" x14ac:dyDescent="0.55000000000000004">
      <c r="A105" s="265" t="s">
        <v>110</v>
      </c>
      <c r="B105" s="265"/>
      <c r="C105" s="265"/>
      <c r="D105" s="265"/>
      <c r="E105" s="8"/>
    </row>
  </sheetData>
  <mergeCells count="15">
    <mergeCell ref="A105:D105"/>
    <mergeCell ref="B44:C44"/>
    <mergeCell ref="A59:D59"/>
    <mergeCell ref="A60:D60"/>
    <mergeCell ref="B45:C45"/>
    <mergeCell ref="B46:C46"/>
    <mergeCell ref="A104:D104"/>
    <mergeCell ref="B43:C43"/>
    <mergeCell ref="A58:D58"/>
    <mergeCell ref="A103:D103"/>
    <mergeCell ref="A1:D1"/>
    <mergeCell ref="C5:D5"/>
    <mergeCell ref="A2:D2"/>
    <mergeCell ref="A3:D3"/>
    <mergeCell ref="A4:D4"/>
  </mergeCells>
  <phoneticPr fontId="8" type="noConversion"/>
  <printOptions horizontalCentered="1"/>
  <pageMargins left="0.19685039370078741" right="0.19685039370078741" top="0.59055118110236227" bottom="0.39370078740157483" header="0.35433070866141736" footer="0.51181102362204722"/>
  <pageSetup paperSize="9" scale="75" orientation="portrait" horizontalDpi="180" verticalDpi="18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A1:AA47"/>
  <sheetViews>
    <sheetView topLeftCell="A28" workbookViewId="0">
      <selection activeCell="A25" sqref="A25:XFD25"/>
    </sheetView>
  </sheetViews>
  <sheetFormatPr defaultColWidth="13" defaultRowHeight="24" x14ac:dyDescent="0.55000000000000004"/>
  <cols>
    <col min="1" max="2" width="19.85546875" style="17" customWidth="1"/>
    <col min="3" max="4" width="15.7109375" style="17" bestFit="1" customWidth="1"/>
    <col min="5" max="5" width="16.140625" style="17" customWidth="1"/>
    <col min="6" max="8" width="14.5703125" style="17" bestFit="1" customWidth="1"/>
    <col min="9" max="9" width="15.7109375" style="17" bestFit="1" customWidth="1"/>
    <col min="10" max="10" width="16.140625" style="17" customWidth="1"/>
    <col min="11" max="11" width="16.42578125" style="17" customWidth="1"/>
    <col min="12" max="12" width="14.140625" style="17" customWidth="1"/>
    <col min="13" max="13" width="9.28515625" style="17" bestFit="1" customWidth="1"/>
    <col min="14" max="14" width="10.7109375" style="17" bestFit="1" customWidth="1"/>
    <col min="15" max="15" width="14.570312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307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21</v>
      </c>
      <c r="B4" s="286" t="s">
        <v>22</v>
      </c>
      <c r="C4" s="286" t="s">
        <v>9</v>
      </c>
      <c r="D4" s="293" t="s">
        <v>229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84"/>
    </row>
    <row r="5" spans="1:27" x14ac:dyDescent="0.55000000000000004">
      <c r="A5" s="291"/>
      <c r="B5" s="291"/>
      <c r="C5" s="291"/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2"/>
    </row>
    <row r="6" spans="1:27" x14ac:dyDescent="0.55000000000000004">
      <c r="A6" s="291"/>
      <c r="B6" s="291"/>
      <c r="C6" s="291"/>
      <c r="D6" s="286" t="s">
        <v>93</v>
      </c>
      <c r="E6" s="290" t="s">
        <v>92</v>
      </c>
      <c r="F6" s="290" t="s">
        <v>83</v>
      </c>
      <c r="G6" s="290" t="s">
        <v>64</v>
      </c>
      <c r="H6" s="290" t="s">
        <v>74</v>
      </c>
      <c r="I6" s="290" t="s">
        <v>91</v>
      </c>
      <c r="J6" s="290" t="s">
        <v>350</v>
      </c>
      <c r="K6" s="290" t="s">
        <v>289</v>
      </c>
      <c r="L6" s="290" t="s">
        <v>290</v>
      </c>
      <c r="M6" s="290" t="s">
        <v>291</v>
      </c>
      <c r="N6" s="290" t="s">
        <v>31</v>
      </c>
      <c r="O6" s="290" t="s">
        <v>23</v>
      </c>
    </row>
    <row r="7" spans="1:27" ht="21" customHeight="1" x14ac:dyDescent="0.55000000000000004">
      <c r="A7" s="291"/>
      <c r="B7" s="291"/>
      <c r="C7" s="291"/>
      <c r="D7" s="291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7" ht="21" customHeight="1" x14ac:dyDescent="0.55000000000000004">
      <c r="A8" s="287"/>
      <c r="B8" s="287"/>
      <c r="C8" s="287"/>
      <c r="D8" s="287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7" x14ac:dyDescent="0.55000000000000004">
      <c r="A9" s="159" t="s">
        <v>24</v>
      </c>
      <c r="B9" s="15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144</v>
      </c>
      <c r="B10" s="157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2758000</v>
      </c>
      <c r="C10" s="73">
        <f>SUM(D10:O10)</f>
        <v>2373600</v>
      </c>
      <c r="D10" s="157">
        <f>SUM(งานบริหาร!H7)</f>
        <v>2373600</v>
      </c>
      <c r="E10" s="157">
        <f>SUM(รักษาความสงบ!H7)</f>
        <v>0</v>
      </c>
      <c r="F10" s="157">
        <f>SUM(การศึกษา!I7)</f>
        <v>0</v>
      </c>
      <c r="G10" s="157">
        <f>SUM(สาธารณสุข!I7)</f>
        <v>0</v>
      </c>
      <c r="H10" s="157">
        <f>SUM(สังคมสงเคราะห์!G7)</f>
        <v>0</v>
      </c>
      <c r="I10" s="157">
        <f>SUM(เคหะชุมชน!J7)</f>
        <v>0</v>
      </c>
      <c r="J10" s="157">
        <f>SUM(เข้มแข็งของชุมชน!G7)</f>
        <v>0</v>
      </c>
      <c r="K10" s="157">
        <f>SUM(ศาสนา!I7)</f>
        <v>0</v>
      </c>
      <c r="L10" s="157">
        <f>SUM(อุตสาหกรรม!G7)</f>
        <v>0</v>
      </c>
      <c r="M10" s="157">
        <f>SUM(การเกษตร!G7)</f>
        <v>0</v>
      </c>
      <c r="N10" s="157">
        <f>SUM(การพาณิชย์!G7)</f>
        <v>0</v>
      </c>
      <c r="O10" s="73">
        <f>SUM(งบกลาง!F7)</f>
        <v>0</v>
      </c>
      <c r="P10" s="67"/>
    </row>
    <row r="11" spans="1:27" x14ac:dyDescent="0.55000000000000004">
      <c r="A11" s="147" t="s">
        <v>145</v>
      </c>
      <c r="B11" s="157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13284400</v>
      </c>
      <c r="C11" s="73">
        <f t="shared" ref="C11:C23" si="0">SUM(D11:O11)</f>
        <v>10675724.07</v>
      </c>
      <c r="D11" s="157">
        <f>SUM(งานบริหาร!H8)</f>
        <v>4508200.24</v>
      </c>
      <c r="E11" s="157">
        <f>SUM(รักษาความสงบ!H8)</f>
        <v>1095798.06</v>
      </c>
      <c r="F11" s="157">
        <f>SUM(การศึกษา!I8)</f>
        <v>674340</v>
      </c>
      <c r="G11" s="157">
        <f>SUM(สาธารณสุข!I8)</f>
        <v>719672</v>
      </c>
      <c r="H11" s="157">
        <f>SUM(สังคมสงเคราะห์!G8)</f>
        <v>936440</v>
      </c>
      <c r="I11" s="157">
        <f>SUM(เคหะชุมชน!J8)</f>
        <v>2741273.77</v>
      </c>
      <c r="J11" s="157">
        <f>SUM(เข้มแข็งของชุมชน!G8)</f>
        <v>0</v>
      </c>
      <c r="K11" s="157">
        <f>SUM(ศาสนา!I8)</f>
        <v>0</v>
      </c>
      <c r="L11" s="157">
        <f>SUM(อุตสาหกรรม!G8)</f>
        <v>0</v>
      </c>
      <c r="M11" s="157">
        <f>SUM(การเกษตร!G8)</f>
        <v>0</v>
      </c>
      <c r="N11" s="157">
        <f>SUM(การพาณิชย์!G8)</f>
        <v>0</v>
      </c>
      <c r="O11" s="73">
        <f>SUM(งบกลาง!F8)</f>
        <v>0</v>
      </c>
    </row>
    <row r="12" spans="1:27" x14ac:dyDescent="0.55000000000000004">
      <c r="A12" s="10" t="s">
        <v>25</v>
      </c>
      <c r="B12" s="157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1967600</v>
      </c>
      <c r="C12" s="73">
        <f t="shared" si="0"/>
        <v>1316504</v>
      </c>
      <c r="D12" s="157">
        <f>SUM(งานบริหาร!H9)</f>
        <v>912915</v>
      </c>
      <c r="E12" s="157">
        <f>SUM(รักษาความสงบ!H9)</f>
        <v>9000</v>
      </c>
      <c r="F12" s="157">
        <f>SUM(การศึกษา!I9)</f>
        <v>40260</v>
      </c>
      <c r="G12" s="157">
        <f>SUM(สาธารณสุข!I9)</f>
        <v>45850</v>
      </c>
      <c r="H12" s="157">
        <f>SUM(สังคมสงเคราะห์!G9)</f>
        <v>72000</v>
      </c>
      <c r="I12" s="157">
        <f>SUM(เคหะชุมชน!J9)</f>
        <v>236479</v>
      </c>
      <c r="J12" s="157">
        <f>SUM(เข้มแข็งของชุมชน!G9)</f>
        <v>0</v>
      </c>
      <c r="K12" s="157">
        <f>SUM(ศาสนา!I9)</f>
        <v>0</v>
      </c>
      <c r="L12" s="157">
        <f>SUM(อุตสาหกรรม!G9)</f>
        <v>0</v>
      </c>
      <c r="M12" s="157">
        <f>SUM(การเกษตร!G9)</f>
        <v>0</v>
      </c>
      <c r="N12" s="157">
        <f>SUM(การพาณิชย์!G9)</f>
        <v>0</v>
      </c>
      <c r="O12" s="73">
        <f>SUM(งบกลาง!F9)</f>
        <v>0</v>
      </c>
    </row>
    <row r="13" spans="1:27" x14ac:dyDescent="0.55000000000000004">
      <c r="A13" s="151" t="s">
        <v>26</v>
      </c>
      <c r="B13" s="157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7940000</v>
      </c>
      <c r="C13" s="73">
        <f t="shared" si="0"/>
        <v>7156713.8799999999</v>
      </c>
      <c r="D13" s="157">
        <f>SUM(งานบริหาร!H10)</f>
        <v>1895010.1</v>
      </c>
      <c r="E13" s="157">
        <f>SUM(รักษาความสงบ!H10)</f>
        <v>272882.98</v>
      </c>
      <c r="F13" s="157">
        <f>SUM(การศึกษา!I10)</f>
        <v>700130.5</v>
      </c>
      <c r="G13" s="157">
        <f>SUM(สาธารณสุข!I10)</f>
        <v>323773</v>
      </c>
      <c r="H13" s="157">
        <f>SUM(สังคมสงเคราะห์!G10)</f>
        <v>31380</v>
      </c>
      <c r="I13" s="157">
        <f>SUM(เคหะชุมชน!J10)</f>
        <v>2353610.2000000002</v>
      </c>
      <c r="J13" s="157">
        <f>SUM(เข้มแข็งของชุมชน!G10)</f>
        <v>1076372</v>
      </c>
      <c r="K13" s="157">
        <f>SUM(ศาสนา!I10)</f>
        <v>503555.1</v>
      </c>
      <c r="L13" s="157">
        <f>SUM(อุตสาหกรรม!G10)</f>
        <v>0</v>
      </c>
      <c r="M13" s="157">
        <f>SUM(การเกษตร!G10)</f>
        <v>0</v>
      </c>
      <c r="N13" s="157">
        <f>SUM(การพาณิชย์!G10)</f>
        <v>0</v>
      </c>
      <c r="O13" s="73">
        <f>SUM(งบกลาง!F10)</f>
        <v>0</v>
      </c>
    </row>
    <row r="14" spans="1:27" x14ac:dyDescent="0.55000000000000004">
      <c r="A14" s="151" t="s">
        <v>26</v>
      </c>
      <c r="B14" s="157"/>
      <c r="C14" s="73">
        <f t="shared" si="0"/>
        <v>52500</v>
      </c>
      <c r="D14" s="157">
        <f>SUM(งานบริหาร!H11)</f>
        <v>0</v>
      </c>
      <c r="E14" s="157">
        <f>SUM(รักษาความสงบ!H11)</f>
        <v>0</v>
      </c>
      <c r="F14" s="157">
        <f>SUM(การศึกษา!I11)</f>
        <v>0</v>
      </c>
      <c r="G14" s="157">
        <f>SUM(สาธารณสุข!I11)</f>
        <v>0</v>
      </c>
      <c r="H14" s="157">
        <f>SUM(สังคมสงเคราะห์!G11)</f>
        <v>40000</v>
      </c>
      <c r="I14" s="157">
        <f>SUM(เคหะชุมชน!J11)</f>
        <v>0</v>
      </c>
      <c r="J14" s="157">
        <f>SUM(เข้มแข็งของชุมชน!G11)</f>
        <v>12500</v>
      </c>
      <c r="K14" s="157">
        <f>SUM(ศาสนา!I11)</f>
        <v>0</v>
      </c>
      <c r="L14" s="157">
        <f>SUM(อุตสาหกรรม!G11)</f>
        <v>0</v>
      </c>
      <c r="M14" s="157">
        <f>SUM(การเกษตร!G11)</f>
        <v>0</v>
      </c>
      <c r="N14" s="157">
        <f>SUM(การพาณิชย์!G11)</f>
        <v>0</v>
      </c>
      <c r="O14" s="73">
        <f>SUM(งบกลาง!F11)</f>
        <v>0</v>
      </c>
    </row>
    <row r="15" spans="1:27" x14ac:dyDescent="0.55000000000000004">
      <c r="A15" s="147" t="s">
        <v>27</v>
      </c>
      <c r="B15" s="157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4904560</v>
      </c>
      <c r="C15" s="73">
        <f t="shared" si="0"/>
        <v>4203810.17</v>
      </c>
      <c r="D15" s="157">
        <f>SUM(งานบริหาร!H12)</f>
        <v>812882.22</v>
      </c>
      <c r="E15" s="157">
        <f>SUM(รักษาความสงบ!H12)</f>
        <v>299319.37</v>
      </c>
      <c r="F15" s="157">
        <f>SUM(การศึกษา!I12)</f>
        <v>1718256.56</v>
      </c>
      <c r="G15" s="157">
        <f>SUM(สาธารณสุข!I12)</f>
        <v>45090</v>
      </c>
      <c r="H15" s="157">
        <f>SUM(สังคมสงเคราะห์!G12)</f>
        <v>66924</v>
      </c>
      <c r="I15" s="157">
        <f>SUM(เคหะชุมชน!J12)</f>
        <v>1201338.02</v>
      </c>
      <c r="J15" s="157">
        <f>SUM(เข้มแข็งของชุมชน!G12)</f>
        <v>0</v>
      </c>
      <c r="K15" s="157">
        <f>SUM(ศาสนา!I12)</f>
        <v>60000</v>
      </c>
      <c r="L15" s="157">
        <f>SUM(อุตสาหกรรม!G12)</f>
        <v>0</v>
      </c>
      <c r="M15" s="157">
        <f>SUM(การเกษตร!G12)</f>
        <v>0</v>
      </c>
      <c r="N15" s="157">
        <f>SUM(การพาณิชย์!G12)</f>
        <v>0</v>
      </c>
      <c r="O15" s="73">
        <f>SUM(งบกลาง!F12)</f>
        <v>0</v>
      </c>
      <c r="P15" s="67"/>
    </row>
    <row r="16" spans="1:27" x14ac:dyDescent="0.55000000000000004">
      <c r="A16" s="147" t="s">
        <v>28</v>
      </c>
      <c r="B16" s="157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1076500</v>
      </c>
      <c r="C16" s="73">
        <f t="shared" si="0"/>
        <v>858136.31</v>
      </c>
      <c r="D16" s="157">
        <f>SUM(งานบริหาร!H13)</f>
        <v>820551.68000000005</v>
      </c>
      <c r="E16" s="157">
        <f>SUM(รักษาความสงบ!H13)</f>
        <v>0</v>
      </c>
      <c r="F16" s="157">
        <f>SUM(การศึกษา!I13)</f>
        <v>0</v>
      </c>
      <c r="G16" s="157">
        <f>SUM(สาธารณสุข!I13)</f>
        <v>1476.53</v>
      </c>
      <c r="H16" s="157">
        <f>SUM(สังคมสงเคราะห์!G13)</f>
        <v>838</v>
      </c>
      <c r="I16" s="157">
        <f>SUM(เคหะชุมชน!J13)</f>
        <v>35270.1</v>
      </c>
      <c r="J16" s="157">
        <f>SUM(เข้มแข็งของชุมชน!G13)</f>
        <v>0</v>
      </c>
      <c r="K16" s="157">
        <f>SUM(ศาสนา!I13)</f>
        <v>0</v>
      </c>
      <c r="L16" s="157">
        <f>SUM(อุตสาหกรรม!G13)</f>
        <v>0</v>
      </c>
      <c r="M16" s="157">
        <f>SUM(การเกษตร!G13)</f>
        <v>0</v>
      </c>
      <c r="N16" s="157">
        <f>SUM(การพาณิชย์!G13)</f>
        <v>0</v>
      </c>
      <c r="O16" s="73">
        <f>SUM(งบกลาง!F13)</f>
        <v>0</v>
      </c>
    </row>
    <row r="17" spans="1:15" x14ac:dyDescent="0.55000000000000004">
      <c r="A17" s="147" t="s">
        <v>349</v>
      </c>
      <c r="B17" s="157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2256900</v>
      </c>
      <c r="C17" s="73">
        <f t="shared" si="0"/>
        <v>2003840</v>
      </c>
      <c r="D17" s="157">
        <f>SUM(งานบริหาร!H14)</f>
        <v>775630</v>
      </c>
      <c r="E17" s="157">
        <f>SUM(รักษาความสงบ!H14)</f>
        <v>528000</v>
      </c>
      <c r="F17" s="157">
        <f>SUM(การศึกษา!I14)</f>
        <v>251120</v>
      </c>
      <c r="G17" s="157">
        <f>SUM(สาธารณสุข!I14)</f>
        <v>76790</v>
      </c>
      <c r="H17" s="157">
        <f>SUM(สังคมสงเคราะห์!G14)</f>
        <v>37900</v>
      </c>
      <c r="I17" s="157">
        <f>SUM(เคหะชุมชน!J14)</f>
        <v>334400</v>
      </c>
      <c r="J17" s="157">
        <f>SUM(เข้มแข็งของชุมชน!G14)</f>
        <v>0</v>
      </c>
      <c r="K17" s="157">
        <f>SUM(ศาสนา!I14)</f>
        <v>0</v>
      </c>
      <c r="L17" s="157">
        <f>SUM(อุตสาหกรรม!G14)</f>
        <v>0</v>
      </c>
      <c r="M17" s="157">
        <f>SUM(การเกษตร!G14)</f>
        <v>0</v>
      </c>
      <c r="N17" s="157">
        <f>SUM(การพาณิชย์!G14)</f>
        <v>0</v>
      </c>
      <c r="O17" s="73">
        <f>SUM(งบกลาง!F14)</f>
        <v>0</v>
      </c>
    </row>
    <row r="18" spans="1:15" x14ac:dyDescent="0.55000000000000004">
      <c r="A18" s="147" t="s">
        <v>52</v>
      </c>
      <c r="B18" s="157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6787000</v>
      </c>
      <c r="C18" s="73">
        <f t="shared" si="0"/>
        <v>5576970</v>
      </c>
      <c r="D18" s="157">
        <f>SUM(งานบริหาร!H15)</f>
        <v>266700</v>
      </c>
      <c r="E18" s="157">
        <f>SUM(รักษาความสงบ!H15)</f>
        <v>0</v>
      </c>
      <c r="F18" s="157">
        <f>SUM(การศึกษา!I15)</f>
        <v>2793000</v>
      </c>
      <c r="G18" s="157">
        <f>SUM(สาธารณสุข!I15)</f>
        <v>0</v>
      </c>
      <c r="H18" s="157">
        <f>SUM(สังคมสงเคราะห์!G15)</f>
        <v>0</v>
      </c>
      <c r="I18" s="157">
        <f>SUM(เคหะชุมชน!J15)</f>
        <v>2517270</v>
      </c>
      <c r="J18" s="157">
        <f>SUM(เข้มแข็งของชุมชน!G15)</f>
        <v>0</v>
      </c>
      <c r="K18" s="157">
        <f>SUM(ศาสนา!I15)</f>
        <v>0</v>
      </c>
      <c r="L18" s="157">
        <f>SUM(อุตสาหกรรม!G15)</f>
        <v>0</v>
      </c>
      <c r="M18" s="157">
        <f>SUM(การเกษตร!G15)</f>
        <v>0</v>
      </c>
      <c r="N18" s="157">
        <f>SUM(การพาณิชย์!G15)</f>
        <v>0</v>
      </c>
      <c r="O18" s="73">
        <f>SUM(งบกลาง!F15)</f>
        <v>0</v>
      </c>
    </row>
    <row r="19" spans="1:15" x14ac:dyDescent="0.55000000000000004">
      <c r="A19" s="147" t="s">
        <v>52</v>
      </c>
      <c r="B19" s="157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73">
        <f t="shared" si="0"/>
        <v>1706000</v>
      </c>
      <c r="D19" s="157">
        <f>SUM(งานบริหาร!H16)</f>
        <v>0</v>
      </c>
      <c r="E19" s="157">
        <f>SUM(รักษาความสงบ!H16)</f>
        <v>0</v>
      </c>
      <c r="F19" s="157">
        <f>SUM(การศึกษา!I16)</f>
        <v>0</v>
      </c>
      <c r="G19" s="157">
        <f>SUM(สาธารณสุข!I16)</f>
        <v>0</v>
      </c>
      <c r="H19" s="157">
        <f>SUM(สังคมสงเคราะห์!G16)</f>
        <v>0</v>
      </c>
      <c r="I19" s="157">
        <f>SUM(เคหะชุมชน!J16)</f>
        <v>1706000</v>
      </c>
      <c r="J19" s="157">
        <f>SUM(เข้มแข็งของชุมชน!G16)</f>
        <v>0</v>
      </c>
      <c r="K19" s="157">
        <f>SUM(ศาสนา!I16)</f>
        <v>0</v>
      </c>
      <c r="L19" s="157">
        <f>SUM(อุตสาหกรรม!G16)</f>
        <v>0</v>
      </c>
      <c r="M19" s="157">
        <f>SUM(การเกษตร!G16)</f>
        <v>0</v>
      </c>
      <c r="N19" s="157">
        <f>SUM(การพาณิชย์!G16)</f>
        <v>0</v>
      </c>
      <c r="O19" s="73">
        <f>SUM(งบกลาง!F16)</f>
        <v>0</v>
      </c>
    </row>
    <row r="20" spans="1:15" x14ac:dyDescent="0.55000000000000004">
      <c r="A20" s="10" t="s">
        <v>56</v>
      </c>
      <c r="B20" s="157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73">
        <f t="shared" si="0"/>
        <v>0</v>
      </c>
      <c r="D20" s="157">
        <f>SUM(งานบริหาร!H17)</f>
        <v>0</v>
      </c>
      <c r="E20" s="157">
        <f>SUM(รักษาความสงบ!H17)</f>
        <v>0</v>
      </c>
      <c r="F20" s="157">
        <f>SUM(การศึกษา!I17)</f>
        <v>0</v>
      </c>
      <c r="G20" s="157">
        <f>SUM(สาธารณสุข!I17)</f>
        <v>0</v>
      </c>
      <c r="H20" s="157">
        <f>SUM(สังคมสงเคราะห์!G17)</f>
        <v>0</v>
      </c>
      <c r="I20" s="157">
        <f>SUM(เคหะชุมชน!J17)</f>
        <v>0</v>
      </c>
      <c r="J20" s="157">
        <f>SUM(เข้มแข็งของชุมชน!G17)</f>
        <v>0</v>
      </c>
      <c r="K20" s="157">
        <f>SUM(ศาสนา!I17)</f>
        <v>0</v>
      </c>
      <c r="L20" s="157">
        <f>SUM(อุตสาหกรรม!G17)</f>
        <v>0</v>
      </c>
      <c r="M20" s="157">
        <f>SUM(การเกษตร!G17)</f>
        <v>0</v>
      </c>
      <c r="N20" s="157">
        <f>SUM(การพาณิชย์!G17)</f>
        <v>0</v>
      </c>
      <c r="O20" s="73">
        <f>SUM(งบกลาง!F17)</f>
        <v>0</v>
      </c>
    </row>
    <row r="21" spans="1:15" x14ac:dyDescent="0.55000000000000004">
      <c r="A21" s="10" t="s">
        <v>29</v>
      </c>
      <c r="B21" s="157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3994500</v>
      </c>
      <c r="C21" s="73">
        <f t="shared" si="0"/>
        <v>2996631.77</v>
      </c>
      <c r="D21" s="157">
        <f>SUM(งานบริหาร!H18)</f>
        <v>25000</v>
      </c>
      <c r="E21" s="157">
        <f>SUM(รักษาความสงบ!H18)</f>
        <v>0</v>
      </c>
      <c r="F21" s="157">
        <f>SUM(การศึกษา!I18)</f>
        <v>2362000</v>
      </c>
      <c r="G21" s="157">
        <f>SUM(สาธารณสุข!I18)</f>
        <v>52500</v>
      </c>
      <c r="H21" s="157">
        <f>SUM(สังคมสงเคราะห์!G18)</f>
        <v>0</v>
      </c>
      <c r="I21" s="157">
        <f>SUM(เคหะชุมชน!J18)</f>
        <v>482131.77</v>
      </c>
      <c r="J21" s="157">
        <f>SUM(เข้มแข็งของชุมชน!G18)</f>
        <v>0</v>
      </c>
      <c r="K21" s="157">
        <f>SUM(ศาสนา!I18)</f>
        <v>75000</v>
      </c>
      <c r="L21" s="157">
        <f>SUM(อุตสาหกรรม!G18)</f>
        <v>0</v>
      </c>
      <c r="M21" s="157">
        <f>SUM(การเกษตร!G18)</f>
        <v>0</v>
      </c>
      <c r="N21" s="157">
        <f>SUM(การพาณิชย์!G18)</f>
        <v>0</v>
      </c>
      <c r="O21" s="73">
        <f>SUM(งบกลาง!F18)</f>
        <v>0</v>
      </c>
    </row>
    <row r="22" spans="1:15" x14ac:dyDescent="0.55000000000000004">
      <c r="A22" s="147" t="s">
        <v>23</v>
      </c>
      <c r="B22" s="157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3429000</v>
      </c>
      <c r="C22" s="73">
        <f t="shared" si="0"/>
        <v>3150598.66</v>
      </c>
      <c r="D22" s="157">
        <f>SUM(งานบริหาร!H19)</f>
        <v>0</v>
      </c>
      <c r="E22" s="157">
        <f>SUM(รักษาความสงบ!H19)</f>
        <v>0</v>
      </c>
      <c r="F22" s="157">
        <f>SUM(การศึกษา!I19)</f>
        <v>0</v>
      </c>
      <c r="G22" s="157">
        <f>SUM(สาธารณสุข!I19)</f>
        <v>0</v>
      </c>
      <c r="H22" s="157">
        <f>SUM(สังคมสงเคราะห์!G19)</f>
        <v>0</v>
      </c>
      <c r="I22" s="157">
        <f>SUM(เคหะชุมชน!J19)</f>
        <v>0</v>
      </c>
      <c r="J22" s="157">
        <f>SUM(เข้มแข็งของชุมชน!G19)</f>
        <v>0</v>
      </c>
      <c r="K22" s="157">
        <f>SUM(ศาสนา!I19)</f>
        <v>0</v>
      </c>
      <c r="L22" s="157">
        <f>SUM(อุตสาหกรรม!G19)</f>
        <v>0</v>
      </c>
      <c r="M22" s="157">
        <f>SUM(การเกษตร!G19)</f>
        <v>0</v>
      </c>
      <c r="N22" s="157">
        <f>SUM(การพาณิชย์!G19)</f>
        <v>0</v>
      </c>
      <c r="O22" s="73">
        <f>SUM(งบกลาง!F19)</f>
        <v>3150598.66</v>
      </c>
    </row>
    <row r="23" spans="1:15" x14ac:dyDescent="0.55000000000000004">
      <c r="A23" s="147" t="s">
        <v>23</v>
      </c>
      <c r="B23" s="157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73">
        <f t="shared" si="0"/>
        <v>5098100</v>
      </c>
      <c r="D23" s="157">
        <f>SUM(งานบริหาร!H20)</f>
        <v>0</v>
      </c>
      <c r="E23" s="157">
        <f>SUM(รักษาความสงบ!H20)</f>
        <v>0</v>
      </c>
      <c r="F23" s="157">
        <f>SUM(การศึกษา!I20)</f>
        <v>0</v>
      </c>
      <c r="G23" s="157">
        <f>SUM(สาธารณสุข!I20)</f>
        <v>0</v>
      </c>
      <c r="H23" s="157">
        <f>SUM(สังคมสงเคราะห์!G20)</f>
        <v>0</v>
      </c>
      <c r="I23" s="157">
        <f>SUM(เคหะชุมชน!J20)</f>
        <v>0</v>
      </c>
      <c r="J23" s="157">
        <f>SUM(เข้มแข็งของชุมชน!G20)</f>
        <v>0</v>
      </c>
      <c r="K23" s="157">
        <f>SUM(ศาสนา!I20)</f>
        <v>0</v>
      </c>
      <c r="L23" s="157">
        <f>SUM(อุตสาหกรรม!G20)</f>
        <v>0</v>
      </c>
      <c r="M23" s="157">
        <f>SUM(การเกษตร!G20)</f>
        <v>0</v>
      </c>
      <c r="N23" s="157">
        <f>SUM(การพาณิชย์!G20)</f>
        <v>0</v>
      </c>
      <c r="O23" s="73">
        <f>SUM(งบกลาง!F20)</f>
        <v>5098100</v>
      </c>
    </row>
    <row r="24" spans="1:15" x14ac:dyDescent="0.55000000000000004">
      <c r="A24" s="148"/>
      <c r="B24" s="148"/>
      <c r="C24" s="73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73"/>
    </row>
    <row r="25" spans="1:15" x14ac:dyDescent="0.55000000000000004">
      <c r="A25" s="124"/>
      <c r="B25" s="164">
        <f t="shared" ref="B25:O25" si="1">SUM(B10:B24)</f>
        <v>48398460</v>
      </c>
      <c r="C25" s="155">
        <f t="shared" si="1"/>
        <v>47169128.859999999</v>
      </c>
      <c r="D25" s="156">
        <f t="shared" si="1"/>
        <v>12390489.24</v>
      </c>
      <c r="E25" s="156">
        <f t="shared" si="1"/>
        <v>2205000.41</v>
      </c>
      <c r="F25" s="156">
        <f t="shared" si="1"/>
        <v>8539107.0600000005</v>
      </c>
      <c r="G25" s="156">
        <f t="shared" si="1"/>
        <v>1265151.53</v>
      </c>
      <c r="H25" s="156">
        <f t="shared" si="1"/>
        <v>1185482</v>
      </c>
      <c r="I25" s="156">
        <f t="shared" si="1"/>
        <v>11607772.859999999</v>
      </c>
      <c r="J25" s="156">
        <f t="shared" si="1"/>
        <v>1088872</v>
      </c>
      <c r="K25" s="156">
        <f t="shared" si="1"/>
        <v>638555.1</v>
      </c>
      <c r="L25" s="156">
        <f t="shared" si="1"/>
        <v>0</v>
      </c>
      <c r="M25" s="156">
        <f t="shared" si="1"/>
        <v>0</v>
      </c>
      <c r="N25" s="156">
        <f t="shared" si="1"/>
        <v>0</v>
      </c>
      <c r="O25" s="154">
        <f t="shared" si="1"/>
        <v>8248698.6600000001</v>
      </c>
    </row>
    <row r="26" spans="1:15" x14ac:dyDescent="0.55000000000000004">
      <c r="A26" s="163" t="s">
        <v>32</v>
      </c>
      <c r="B26" s="163"/>
      <c r="C26" s="16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0"/>
    </row>
    <row r="27" spans="1:15" x14ac:dyDescent="0.55000000000000004">
      <c r="A27" s="147" t="s">
        <v>297</v>
      </c>
      <c r="B27" s="165">
        <v>2080000</v>
      </c>
      <c r="C27" s="73">
        <v>2472903.25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72"/>
    </row>
    <row r="28" spans="1:15" x14ac:dyDescent="0.55000000000000004">
      <c r="A28" s="147" t="s">
        <v>298</v>
      </c>
      <c r="B28" s="165">
        <v>1817000</v>
      </c>
      <c r="C28" s="73">
        <v>2175584.6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72"/>
    </row>
    <row r="29" spans="1:15" x14ac:dyDescent="0.55000000000000004">
      <c r="A29" s="147" t="s">
        <v>305</v>
      </c>
      <c r="B29" s="165">
        <v>1000000</v>
      </c>
      <c r="C29" s="73">
        <v>706023.89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72"/>
    </row>
    <row r="30" spans="1:15" x14ac:dyDescent="0.55000000000000004">
      <c r="A30" s="147" t="s">
        <v>299</v>
      </c>
      <c r="B30" s="165">
        <v>0</v>
      </c>
      <c r="C30" s="73"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72"/>
    </row>
    <row r="31" spans="1:15" x14ac:dyDescent="0.55000000000000004">
      <c r="A31" s="147" t="s">
        <v>300</v>
      </c>
      <c r="B31" s="165">
        <v>200000</v>
      </c>
      <c r="C31" s="73">
        <v>149610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72"/>
    </row>
    <row r="32" spans="1:15" x14ac:dyDescent="0.55000000000000004">
      <c r="A32" s="147" t="s">
        <v>301</v>
      </c>
      <c r="B32" s="165">
        <v>3000</v>
      </c>
      <c r="C32" s="73">
        <v>5900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2"/>
    </row>
    <row r="33" spans="1:15" x14ac:dyDescent="0.55000000000000004">
      <c r="A33" s="147" t="s">
        <v>302</v>
      </c>
      <c r="B33" s="165">
        <v>28000000</v>
      </c>
      <c r="C33" s="73">
        <v>23153517.539999999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72"/>
    </row>
    <row r="34" spans="1:15" x14ac:dyDescent="0.55000000000000004">
      <c r="A34" s="147" t="s">
        <v>303</v>
      </c>
      <c r="B34" s="165">
        <v>15300000</v>
      </c>
      <c r="C34" s="73">
        <v>11862744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72"/>
    </row>
    <row r="35" spans="1:15" x14ac:dyDescent="0.55000000000000004">
      <c r="A35" s="147" t="s">
        <v>304</v>
      </c>
      <c r="B35" s="165"/>
      <c r="C35" s="73">
        <v>6856600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72"/>
    </row>
    <row r="36" spans="1:15" x14ac:dyDescent="0.55000000000000004">
      <c r="A36" s="162"/>
      <c r="B36" s="166">
        <f>SUM(B27:B35)</f>
        <v>48400000</v>
      </c>
      <c r="C36" s="155">
        <f>SUM(C27:C35)</f>
        <v>47382883.280000001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4"/>
    </row>
    <row r="37" spans="1:15" ht="24.75" thickBot="1" x14ac:dyDescent="0.6">
      <c r="A37" s="167" t="s">
        <v>306</v>
      </c>
      <c r="B37" s="77"/>
      <c r="C37" s="76">
        <f>SUM(C36-C25)</f>
        <v>213754.42000000179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78"/>
    </row>
    <row r="38" spans="1:15" ht="24.75" thickTop="1" x14ac:dyDescent="0.55000000000000004">
      <c r="A38" s="77"/>
      <c r="B38" s="77"/>
      <c r="C38" s="7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8"/>
    </row>
    <row r="39" spans="1:15" x14ac:dyDescent="0.55000000000000004">
      <c r="A39" s="77"/>
      <c r="B39" s="77"/>
      <c r="C39" s="79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78"/>
    </row>
    <row r="40" spans="1:15" x14ac:dyDescent="0.55000000000000004">
      <c r="A40" s="77"/>
      <c r="B40" s="77"/>
      <c r="C40" s="7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78"/>
    </row>
    <row r="41" spans="1:15" x14ac:dyDescent="0.55000000000000004">
      <c r="A41" s="77"/>
      <c r="B41" s="77"/>
      <c r="C41" s="79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78"/>
    </row>
    <row r="42" spans="1:15" x14ac:dyDescent="0.55000000000000004">
      <c r="A42" s="77"/>
      <c r="B42" s="77"/>
      <c r="C42" s="7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78"/>
    </row>
    <row r="43" spans="1:15" x14ac:dyDescent="0.55000000000000004">
      <c r="A43" s="77"/>
      <c r="B43" s="77"/>
      <c r="C43" s="7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8"/>
    </row>
    <row r="44" spans="1:15" x14ac:dyDescent="0.55000000000000004">
      <c r="A44" s="77"/>
      <c r="B44" s="77"/>
      <c r="C44" s="7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8"/>
    </row>
    <row r="45" spans="1:15" x14ac:dyDescent="0.55000000000000004">
      <c r="A45" s="77"/>
      <c r="B45" s="77"/>
      <c r="C45" s="7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78"/>
    </row>
    <row r="46" spans="1:15" x14ac:dyDescent="0.55000000000000004">
      <c r="A46" s="77"/>
      <c r="B46" s="77"/>
      <c r="C46" s="7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78"/>
    </row>
    <row r="47" spans="1:15" x14ac:dyDescent="0.55000000000000004">
      <c r="A47" s="77"/>
      <c r="B47" s="77"/>
      <c r="C47" s="79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78"/>
    </row>
  </sheetData>
  <mergeCells count="19">
    <mergeCell ref="G6:G8"/>
    <mergeCell ref="H6:H8"/>
    <mergeCell ref="I6:I8"/>
    <mergeCell ref="M6:M8"/>
    <mergeCell ref="N6:N8"/>
    <mergeCell ref="O6:O8"/>
    <mergeCell ref="A1:O1"/>
    <mergeCell ref="A2:O2"/>
    <mergeCell ref="A3:O3"/>
    <mergeCell ref="B4:B8"/>
    <mergeCell ref="A4:A8"/>
    <mergeCell ref="C4:C8"/>
    <mergeCell ref="D4:O5"/>
    <mergeCell ref="J6:J8"/>
    <mergeCell ref="K6:K8"/>
    <mergeCell ref="L6:L8"/>
    <mergeCell ref="D6:D8"/>
    <mergeCell ref="E6:E8"/>
    <mergeCell ref="F6:F8"/>
  </mergeCells>
  <phoneticPr fontId="8" type="noConversion"/>
  <printOptions horizontalCentered="1"/>
  <pageMargins left="7.874015748031496E-2" right="7.874015748031496E-2" top="0.62992125984251968" bottom="0.74803149606299213" header="0.31496062992125984" footer="0.31496062992125984"/>
  <pageSetup paperSize="9" scale="60" orientation="landscape" horizontalDpi="12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7"/>
  <sheetViews>
    <sheetView topLeftCell="A22" workbookViewId="0">
      <selection activeCell="C25" sqref="C25"/>
    </sheetView>
  </sheetViews>
  <sheetFormatPr defaultColWidth="13" defaultRowHeight="24" x14ac:dyDescent="0.55000000000000004"/>
  <cols>
    <col min="1" max="2" width="19.85546875" style="17" customWidth="1"/>
    <col min="3" max="3" width="17.28515625" style="17" customWidth="1"/>
    <col min="4" max="4" width="15.7109375" style="17" bestFit="1" customWidth="1"/>
    <col min="5" max="5" width="16.5703125" style="17" customWidth="1"/>
    <col min="6" max="8" width="14.5703125" style="17" bestFit="1" customWidth="1"/>
    <col min="9" max="9" width="15.7109375" style="17" bestFit="1" customWidth="1"/>
    <col min="10" max="10" width="14.85546875" style="17" customWidth="1"/>
    <col min="11" max="11" width="15.140625" style="17" customWidth="1"/>
    <col min="12" max="12" width="12.7109375" style="17" customWidth="1"/>
    <col min="13" max="13" width="10.42578125" style="17" customWidth="1"/>
    <col min="14" max="14" width="12.5703125" style="17" customWidth="1"/>
    <col min="15" max="15" width="14.570312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308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21</v>
      </c>
      <c r="B4" s="286" t="s">
        <v>22</v>
      </c>
      <c r="C4" s="286" t="s">
        <v>9</v>
      </c>
      <c r="D4" s="293" t="s">
        <v>229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84"/>
    </row>
    <row r="5" spans="1:27" x14ac:dyDescent="0.55000000000000004">
      <c r="A5" s="291"/>
      <c r="B5" s="291"/>
      <c r="C5" s="291"/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2"/>
    </row>
    <row r="6" spans="1:27" x14ac:dyDescent="0.55000000000000004">
      <c r="A6" s="291"/>
      <c r="B6" s="291"/>
      <c r="C6" s="291"/>
      <c r="D6" s="286" t="s">
        <v>93</v>
      </c>
      <c r="E6" s="290" t="s">
        <v>92</v>
      </c>
      <c r="F6" s="290" t="s">
        <v>83</v>
      </c>
      <c r="G6" s="290" t="s">
        <v>64</v>
      </c>
      <c r="H6" s="290" t="s">
        <v>74</v>
      </c>
      <c r="I6" s="290" t="s">
        <v>91</v>
      </c>
      <c r="J6" s="290" t="s">
        <v>350</v>
      </c>
      <c r="K6" s="290" t="s">
        <v>289</v>
      </c>
      <c r="L6" s="290" t="s">
        <v>290</v>
      </c>
      <c r="M6" s="290" t="s">
        <v>291</v>
      </c>
      <c r="N6" s="290" t="s">
        <v>31</v>
      </c>
      <c r="O6" s="290" t="s">
        <v>23</v>
      </c>
    </row>
    <row r="7" spans="1:27" ht="21" customHeight="1" x14ac:dyDescent="0.55000000000000004">
      <c r="A7" s="291"/>
      <c r="B7" s="291"/>
      <c r="C7" s="291"/>
      <c r="D7" s="291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7" ht="21" customHeight="1" x14ac:dyDescent="0.55000000000000004">
      <c r="A8" s="287"/>
      <c r="B8" s="287"/>
      <c r="C8" s="287"/>
      <c r="D8" s="287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7" x14ac:dyDescent="0.55000000000000004">
      <c r="A9" s="159" t="s">
        <v>24</v>
      </c>
      <c r="B9" s="15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144</v>
      </c>
      <c r="B10" s="157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2758000</v>
      </c>
      <c r="C10" s="73">
        <f>SUM(D10:O10)</f>
        <v>2848320</v>
      </c>
      <c r="D10" s="157">
        <f>SUM(แผนงานรวม!D10+เงินสะสมรวม!C10)</f>
        <v>2848320</v>
      </c>
      <c r="E10" s="157">
        <f>SUM(แผนงานรวม!E10+เงินสะสมรวม!D10)</f>
        <v>0</v>
      </c>
      <c r="F10" s="157">
        <f>SUM(แผนงานรวม!F10+เงินสะสมรวม!E10)</f>
        <v>0</v>
      </c>
      <c r="G10" s="157">
        <f>SUM(แผนงานรวม!G10+เงินสะสมรวม!F10)</f>
        <v>0</v>
      </c>
      <c r="H10" s="157">
        <f>SUM(แผนงานรวม!H10+เงินสะสมรวม!G10)</f>
        <v>0</v>
      </c>
      <c r="I10" s="157">
        <f>SUM(แผนงานรวม!I10+เงินสะสมรวม!H10)</f>
        <v>0</v>
      </c>
      <c r="J10" s="157">
        <f>SUM(แผนงานรวม!J10+เงินสะสมรวม!I10)</f>
        <v>0</v>
      </c>
      <c r="K10" s="157">
        <f>SUM(แผนงานรวม!K10+เงินสะสมรวม!J10)</f>
        <v>0</v>
      </c>
      <c r="L10" s="157">
        <f>SUM(แผนงานรวม!L10+เงินสะสมรวม!K10)</f>
        <v>0</v>
      </c>
      <c r="M10" s="157">
        <f>SUM(แผนงานรวม!M10+เงินสะสมรวม!L10)</f>
        <v>0</v>
      </c>
      <c r="N10" s="157">
        <f>SUM(แผนงานรวม!N10+เงินสะสมรวม!M10)</f>
        <v>0</v>
      </c>
      <c r="O10" s="157">
        <f>SUM(แผนงานรวม!O10+เงินสะสมรวม!N10)</f>
        <v>0</v>
      </c>
      <c r="P10" s="67"/>
    </row>
    <row r="11" spans="1:27" x14ac:dyDescent="0.55000000000000004">
      <c r="A11" s="147" t="s">
        <v>145</v>
      </c>
      <c r="B11" s="157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13284400</v>
      </c>
      <c r="C11" s="73">
        <f t="shared" ref="C11:C23" si="0">SUM(D11:O11)</f>
        <v>12900589.07</v>
      </c>
      <c r="D11" s="157">
        <f>SUM(แผนงานรวม!D11+เงินสะสมรวม!C11)</f>
        <v>5419890.2400000002</v>
      </c>
      <c r="E11" s="157">
        <f>SUM(แผนงานรวม!E11+เงินสะสมรวม!D11)</f>
        <v>1311168.06</v>
      </c>
      <c r="F11" s="157">
        <f>SUM(แผนงานรวม!F11+เงินสะสมรวม!E11)</f>
        <v>872560</v>
      </c>
      <c r="G11" s="157">
        <f>SUM(แผนงานรวม!G11+เงินสะสมรวม!F11)</f>
        <v>863012</v>
      </c>
      <c r="H11" s="157">
        <f>SUM(แผนงานรวม!H11+เงินสะสมรวม!G11)</f>
        <v>1140960</v>
      </c>
      <c r="I11" s="157">
        <f>SUM(แผนงานรวม!I11+เงินสะสมรวม!H11)</f>
        <v>3292998.77</v>
      </c>
      <c r="J11" s="157">
        <f>SUM(แผนงานรวม!J11+เงินสะสมรวม!I11)</f>
        <v>0</v>
      </c>
      <c r="K11" s="157">
        <f>SUM(แผนงานรวม!K11+เงินสะสมรวม!J11)</f>
        <v>0</v>
      </c>
      <c r="L11" s="157">
        <f>SUM(แผนงานรวม!L11+เงินสะสมรวม!K11)</f>
        <v>0</v>
      </c>
      <c r="M11" s="157">
        <f>SUM(แผนงานรวม!M11+เงินสะสมรวม!L11)</f>
        <v>0</v>
      </c>
      <c r="N11" s="157">
        <f>SUM(แผนงานรวม!N11+เงินสะสมรวม!M11)</f>
        <v>0</v>
      </c>
      <c r="O11" s="157">
        <f>SUM(แผนงานรวม!O11+เงินสะสมรวม!N11)</f>
        <v>0</v>
      </c>
    </row>
    <row r="12" spans="1:27" x14ac:dyDescent="0.55000000000000004">
      <c r="A12" s="10" t="s">
        <v>25</v>
      </c>
      <c r="B12" s="157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1967600</v>
      </c>
      <c r="C12" s="73">
        <f t="shared" si="0"/>
        <v>1316504</v>
      </c>
      <c r="D12" s="157">
        <f>SUM(แผนงานรวม!D12+เงินสะสมรวม!C12)</f>
        <v>912915</v>
      </c>
      <c r="E12" s="157">
        <f>SUM(แผนงานรวม!E12+เงินสะสมรวม!D12)</f>
        <v>9000</v>
      </c>
      <c r="F12" s="157">
        <f>SUM(แผนงานรวม!F12+เงินสะสมรวม!E12)</f>
        <v>40260</v>
      </c>
      <c r="G12" s="157">
        <f>SUM(แผนงานรวม!G12+เงินสะสมรวม!F12)</f>
        <v>45850</v>
      </c>
      <c r="H12" s="157">
        <f>SUM(แผนงานรวม!H12+เงินสะสมรวม!G12)</f>
        <v>72000</v>
      </c>
      <c r="I12" s="157">
        <f>SUM(แผนงานรวม!I12+เงินสะสมรวม!H12)</f>
        <v>236479</v>
      </c>
      <c r="J12" s="157">
        <f>SUM(แผนงานรวม!J12+เงินสะสมรวม!I12)</f>
        <v>0</v>
      </c>
      <c r="K12" s="157">
        <f>SUM(แผนงานรวม!K12+เงินสะสมรวม!J12)</f>
        <v>0</v>
      </c>
      <c r="L12" s="157">
        <f>SUM(แผนงานรวม!L12+เงินสะสมรวม!K12)</f>
        <v>0</v>
      </c>
      <c r="M12" s="157">
        <f>SUM(แผนงานรวม!M12+เงินสะสมรวม!L12)</f>
        <v>0</v>
      </c>
      <c r="N12" s="157">
        <f>SUM(แผนงานรวม!N12+เงินสะสมรวม!M12)</f>
        <v>0</v>
      </c>
      <c r="O12" s="157">
        <f>SUM(แผนงานรวม!O12+เงินสะสมรวม!N12)</f>
        <v>0</v>
      </c>
    </row>
    <row r="13" spans="1:27" x14ac:dyDescent="0.55000000000000004">
      <c r="A13" s="151" t="s">
        <v>26</v>
      </c>
      <c r="B13" s="157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7940000</v>
      </c>
      <c r="C13" s="73">
        <f t="shared" si="0"/>
        <v>7171447.4800000004</v>
      </c>
      <c r="D13" s="157">
        <f>SUM(แผนงานรวม!D13+เงินสะสมรวม!C13)</f>
        <v>1895010.1</v>
      </c>
      <c r="E13" s="157">
        <f>SUM(แผนงานรวม!E13+เงินสะสมรวม!D13)</f>
        <v>272882.98</v>
      </c>
      <c r="F13" s="157">
        <f>SUM(แผนงานรวม!F13+เงินสะสมรวม!E13)</f>
        <v>700130.5</v>
      </c>
      <c r="G13" s="157">
        <f>SUM(แผนงานรวม!G13+เงินสะสมรวม!F13)</f>
        <v>323773</v>
      </c>
      <c r="H13" s="157">
        <f>SUM(แผนงานรวม!H13+เงินสะสมรวม!G13)</f>
        <v>31380</v>
      </c>
      <c r="I13" s="157">
        <f>SUM(แผนงานรวม!I13+เงินสะสมรวม!H13)</f>
        <v>2353610.2000000002</v>
      </c>
      <c r="J13" s="157">
        <f>SUM(แผนงานรวม!J13+เงินสะสมรวม!I13)</f>
        <v>1076372</v>
      </c>
      <c r="K13" s="157">
        <f>SUM(แผนงานรวม!K13+เงินสะสมรวม!J13)</f>
        <v>518288.69999999995</v>
      </c>
      <c r="L13" s="157">
        <f>SUM(แผนงานรวม!L13+เงินสะสมรวม!K13)</f>
        <v>0</v>
      </c>
      <c r="M13" s="157">
        <f>SUM(แผนงานรวม!M13+เงินสะสมรวม!L13)</f>
        <v>0</v>
      </c>
      <c r="N13" s="157">
        <f>SUM(แผนงานรวม!N13+เงินสะสมรวม!M13)</f>
        <v>0</v>
      </c>
      <c r="O13" s="157">
        <f>SUM(แผนงานรวม!O13+เงินสะสมรวม!N13)</f>
        <v>0</v>
      </c>
    </row>
    <row r="14" spans="1:27" x14ac:dyDescent="0.55000000000000004">
      <c r="A14" s="151" t="s">
        <v>26</v>
      </c>
      <c r="B14" s="157"/>
      <c r="C14" s="73">
        <f t="shared" si="0"/>
        <v>52500</v>
      </c>
      <c r="D14" s="157">
        <f>SUM(แผนงานรวม!D14+เงินสะสมรวม!C14)</f>
        <v>0</v>
      </c>
      <c r="E14" s="157">
        <f>SUM(แผนงานรวม!E14+เงินสะสมรวม!D14)</f>
        <v>0</v>
      </c>
      <c r="F14" s="157">
        <f>SUM(แผนงานรวม!F14+เงินสะสมรวม!E14)</f>
        <v>0</v>
      </c>
      <c r="G14" s="157">
        <f>SUM(แผนงานรวม!G14+เงินสะสมรวม!F14)</f>
        <v>0</v>
      </c>
      <c r="H14" s="157">
        <f>SUM(แผนงานรวม!H14+เงินสะสมรวม!G14)</f>
        <v>40000</v>
      </c>
      <c r="I14" s="157">
        <f>SUM(แผนงานรวม!I14+เงินสะสมรวม!H14)</f>
        <v>0</v>
      </c>
      <c r="J14" s="157">
        <f>SUM(แผนงานรวม!J14+เงินสะสมรวม!I14)</f>
        <v>12500</v>
      </c>
      <c r="K14" s="157">
        <f>SUM(แผนงานรวม!K14+เงินสะสมรวม!J14)</f>
        <v>0</v>
      </c>
      <c r="L14" s="157">
        <f>SUM(แผนงานรวม!L14+เงินสะสมรวม!K14)</f>
        <v>0</v>
      </c>
      <c r="M14" s="157">
        <f>SUM(แผนงานรวม!M14+เงินสะสมรวม!L14)</f>
        <v>0</v>
      </c>
      <c r="N14" s="157">
        <f>SUM(แผนงานรวม!N14+เงินสะสมรวม!M14)</f>
        <v>0</v>
      </c>
      <c r="O14" s="157">
        <f>SUM(แผนงานรวม!O14+เงินสะสมรวม!N14)</f>
        <v>0</v>
      </c>
    </row>
    <row r="15" spans="1:27" x14ac:dyDescent="0.55000000000000004">
      <c r="A15" s="147" t="s">
        <v>27</v>
      </c>
      <c r="B15" s="157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4904560</v>
      </c>
      <c r="C15" s="73">
        <f t="shared" si="0"/>
        <v>4203810.17</v>
      </c>
      <c r="D15" s="157">
        <f>SUM(แผนงานรวม!D15+เงินสะสมรวม!C15)</f>
        <v>812882.22</v>
      </c>
      <c r="E15" s="157">
        <f>SUM(แผนงานรวม!E15+เงินสะสมรวม!D15)</f>
        <v>299319.37</v>
      </c>
      <c r="F15" s="157">
        <f>SUM(แผนงานรวม!F15+เงินสะสมรวม!E15)</f>
        <v>1718256.56</v>
      </c>
      <c r="G15" s="157">
        <f>SUM(แผนงานรวม!G15+เงินสะสมรวม!F15)</f>
        <v>45090</v>
      </c>
      <c r="H15" s="157">
        <f>SUM(แผนงานรวม!H15+เงินสะสมรวม!G15)</f>
        <v>66924</v>
      </c>
      <c r="I15" s="157">
        <f>SUM(แผนงานรวม!I15+เงินสะสมรวม!H15)</f>
        <v>1201338.02</v>
      </c>
      <c r="J15" s="157">
        <f>SUM(แผนงานรวม!J15+เงินสะสมรวม!I15)</f>
        <v>0</v>
      </c>
      <c r="K15" s="157">
        <f>SUM(แผนงานรวม!K15+เงินสะสมรวม!J15)</f>
        <v>60000</v>
      </c>
      <c r="L15" s="157">
        <f>SUM(แผนงานรวม!L15+เงินสะสมรวม!K15)</f>
        <v>0</v>
      </c>
      <c r="M15" s="157">
        <f>SUM(แผนงานรวม!M15+เงินสะสมรวม!L15)</f>
        <v>0</v>
      </c>
      <c r="N15" s="157">
        <f>SUM(แผนงานรวม!N15+เงินสะสมรวม!M15)</f>
        <v>0</v>
      </c>
      <c r="O15" s="157">
        <f>SUM(แผนงานรวม!O15+เงินสะสมรวม!N15)</f>
        <v>0</v>
      </c>
      <c r="P15" s="67"/>
    </row>
    <row r="16" spans="1:27" x14ac:dyDescent="0.55000000000000004">
      <c r="A16" s="147" t="s">
        <v>28</v>
      </c>
      <c r="B16" s="157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1076500</v>
      </c>
      <c r="C16" s="73">
        <f t="shared" si="0"/>
        <v>858136.31</v>
      </c>
      <c r="D16" s="157">
        <f>SUM(แผนงานรวม!D16+เงินสะสมรวม!C16)</f>
        <v>820551.68000000005</v>
      </c>
      <c r="E16" s="157">
        <f>SUM(แผนงานรวม!E16+เงินสะสมรวม!D16)</f>
        <v>0</v>
      </c>
      <c r="F16" s="157">
        <f>SUM(แผนงานรวม!F16+เงินสะสมรวม!E16)</f>
        <v>0</v>
      </c>
      <c r="G16" s="157">
        <f>SUM(แผนงานรวม!G16+เงินสะสมรวม!F16)</f>
        <v>1476.53</v>
      </c>
      <c r="H16" s="157">
        <f>SUM(แผนงานรวม!H16+เงินสะสมรวม!G16)</f>
        <v>838</v>
      </c>
      <c r="I16" s="157">
        <f>SUM(แผนงานรวม!I16+เงินสะสมรวม!H16)</f>
        <v>35270.1</v>
      </c>
      <c r="J16" s="157">
        <f>SUM(แผนงานรวม!J16+เงินสะสมรวม!I16)</f>
        <v>0</v>
      </c>
      <c r="K16" s="157">
        <f>SUM(แผนงานรวม!K16+เงินสะสมรวม!J16)</f>
        <v>0</v>
      </c>
      <c r="L16" s="157">
        <f>SUM(แผนงานรวม!L16+เงินสะสมรวม!K16)</f>
        <v>0</v>
      </c>
      <c r="M16" s="157">
        <f>SUM(แผนงานรวม!M16+เงินสะสมรวม!L16)</f>
        <v>0</v>
      </c>
      <c r="N16" s="157">
        <f>SUM(แผนงานรวม!N16+เงินสะสมรวม!M16)</f>
        <v>0</v>
      </c>
      <c r="O16" s="157">
        <f>SUM(แผนงานรวม!O16+เงินสะสมรวม!N16)</f>
        <v>0</v>
      </c>
    </row>
    <row r="17" spans="1:15" x14ac:dyDescent="0.55000000000000004">
      <c r="A17" s="147" t="s">
        <v>349</v>
      </c>
      <c r="B17" s="157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2256900</v>
      </c>
      <c r="C17" s="73">
        <f t="shared" si="0"/>
        <v>2003840</v>
      </c>
      <c r="D17" s="157">
        <f>SUM(แผนงานรวม!D17+เงินสะสมรวม!C17)</f>
        <v>775630</v>
      </c>
      <c r="E17" s="157">
        <f>SUM(แผนงานรวม!E17+เงินสะสมรวม!D17)</f>
        <v>528000</v>
      </c>
      <c r="F17" s="157">
        <f>SUM(แผนงานรวม!F17+เงินสะสมรวม!E17)</f>
        <v>251120</v>
      </c>
      <c r="G17" s="157">
        <f>SUM(แผนงานรวม!G17+เงินสะสมรวม!F17)</f>
        <v>76790</v>
      </c>
      <c r="H17" s="157">
        <f>SUM(แผนงานรวม!H17+เงินสะสมรวม!G17)</f>
        <v>37900</v>
      </c>
      <c r="I17" s="157">
        <f>SUM(แผนงานรวม!I17+เงินสะสมรวม!H17)</f>
        <v>334400</v>
      </c>
      <c r="J17" s="157">
        <f>SUM(แผนงานรวม!J17+เงินสะสมรวม!I17)</f>
        <v>0</v>
      </c>
      <c r="K17" s="157">
        <f>SUM(แผนงานรวม!K17+เงินสะสมรวม!J17)</f>
        <v>0</v>
      </c>
      <c r="L17" s="157">
        <f>SUM(แผนงานรวม!L17+เงินสะสมรวม!K17)</f>
        <v>0</v>
      </c>
      <c r="M17" s="157">
        <f>SUM(แผนงานรวม!M17+เงินสะสมรวม!L17)</f>
        <v>0</v>
      </c>
      <c r="N17" s="157">
        <f>SUM(แผนงานรวม!N17+เงินสะสมรวม!M17)</f>
        <v>0</v>
      </c>
      <c r="O17" s="157">
        <f>SUM(แผนงานรวม!O17+เงินสะสมรวม!N17)</f>
        <v>0</v>
      </c>
    </row>
    <row r="18" spans="1:15" x14ac:dyDescent="0.55000000000000004">
      <c r="A18" s="147" t="s">
        <v>52</v>
      </c>
      <c r="B18" s="157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6787000</v>
      </c>
      <c r="C18" s="73">
        <f t="shared" si="0"/>
        <v>5576970</v>
      </c>
      <c r="D18" s="157">
        <f>SUM(แผนงานรวม!D18+เงินสะสมรวม!C18)</f>
        <v>266700</v>
      </c>
      <c r="E18" s="157">
        <f>SUM(แผนงานรวม!E18+เงินสะสมรวม!D18)</f>
        <v>0</v>
      </c>
      <c r="F18" s="157">
        <f>SUM(แผนงานรวม!F18+เงินสะสมรวม!E18)</f>
        <v>2793000</v>
      </c>
      <c r="G18" s="157">
        <f>SUM(แผนงานรวม!G18+เงินสะสมรวม!F18)</f>
        <v>0</v>
      </c>
      <c r="H18" s="157">
        <f>SUM(แผนงานรวม!H18+เงินสะสมรวม!G18)</f>
        <v>0</v>
      </c>
      <c r="I18" s="157">
        <f>SUM(แผนงานรวม!I18+เงินสะสมรวม!H18)</f>
        <v>2517270</v>
      </c>
      <c r="J18" s="157">
        <f>SUM(แผนงานรวม!J18+เงินสะสมรวม!I18)</f>
        <v>0</v>
      </c>
      <c r="K18" s="157">
        <f>SUM(แผนงานรวม!K18+เงินสะสมรวม!J18)</f>
        <v>0</v>
      </c>
      <c r="L18" s="157">
        <f>SUM(แผนงานรวม!L18+เงินสะสมรวม!K18)</f>
        <v>0</v>
      </c>
      <c r="M18" s="157">
        <f>SUM(แผนงานรวม!M18+เงินสะสมรวม!L18)</f>
        <v>0</v>
      </c>
      <c r="N18" s="157">
        <f>SUM(แผนงานรวม!N18+เงินสะสมรวม!M18)</f>
        <v>0</v>
      </c>
      <c r="O18" s="157">
        <f>SUM(แผนงานรวม!O18+เงินสะสมรวม!N18)</f>
        <v>0</v>
      </c>
    </row>
    <row r="19" spans="1:15" x14ac:dyDescent="0.55000000000000004">
      <c r="A19" s="147" t="s">
        <v>52</v>
      </c>
      <c r="B19" s="157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73">
        <f t="shared" si="0"/>
        <v>1706000</v>
      </c>
      <c r="D19" s="157">
        <f>SUM(แผนงานรวม!D19+เงินสะสมรวม!C19)</f>
        <v>0</v>
      </c>
      <c r="E19" s="157">
        <f>SUM(แผนงานรวม!E19+เงินสะสมรวม!D19)</f>
        <v>0</v>
      </c>
      <c r="F19" s="157">
        <f>SUM(แผนงานรวม!F19+เงินสะสมรวม!E19)</f>
        <v>0</v>
      </c>
      <c r="G19" s="157">
        <f>SUM(แผนงานรวม!G19+เงินสะสมรวม!F19)</f>
        <v>0</v>
      </c>
      <c r="H19" s="157">
        <f>SUM(แผนงานรวม!H19+เงินสะสมรวม!G19)</f>
        <v>0</v>
      </c>
      <c r="I19" s="157">
        <f>SUM(แผนงานรวม!I19+เงินสะสมรวม!H19)</f>
        <v>1706000</v>
      </c>
      <c r="J19" s="157">
        <f>SUM(แผนงานรวม!J19+เงินสะสมรวม!I19)</f>
        <v>0</v>
      </c>
      <c r="K19" s="157">
        <f>SUM(แผนงานรวม!K19+เงินสะสมรวม!J19)</f>
        <v>0</v>
      </c>
      <c r="L19" s="157">
        <f>SUM(แผนงานรวม!L19+เงินสะสมรวม!K19)</f>
        <v>0</v>
      </c>
      <c r="M19" s="157">
        <f>SUM(แผนงานรวม!M19+เงินสะสมรวม!L19)</f>
        <v>0</v>
      </c>
      <c r="N19" s="157">
        <f>SUM(แผนงานรวม!N19+เงินสะสมรวม!M19)</f>
        <v>0</v>
      </c>
      <c r="O19" s="157">
        <f>SUM(แผนงานรวม!O19+เงินสะสมรวม!N19)</f>
        <v>0</v>
      </c>
    </row>
    <row r="20" spans="1:15" x14ac:dyDescent="0.55000000000000004">
      <c r="A20" s="10" t="s">
        <v>56</v>
      </c>
      <c r="B20" s="157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73">
        <f t="shared" si="0"/>
        <v>0</v>
      </c>
      <c r="D20" s="157">
        <f>SUM(แผนงานรวม!D20+เงินสะสมรวม!C20)</f>
        <v>0</v>
      </c>
      <c r="E20" s="157">
        <f>SUM(แผนงานรวม!E20+เงินสะสมรวม!D20)</f>
        <v>0</v>
      </c>
      <c r="F20" s="157">
        <f>SUM(แผนงานรวม!F20+เงินสะสมรวม!E20)</f>
        <v>0</v>
      </c>
      <c r="G20" s="157">
        <f>SUM(แผนงานรวม!G20+เงินสะสมรวม!F20)</f>
        <v>0</v>
      </c>
      <c r="H20" s="157">
        <f>SUM(แผนงานรวม!H20+เงินสะสมรวม!G20)</f>
        <v>0</v>
      </c>
      <c r="I20" s="157">
        <f>SUM(แผนงานรวม!I20+เงินสะสมรวม!H20)</f>
        <v>0</v>
      </c>
      <c r="J20" s="157">
        <f>SUM(แผนงานรวม!J20+เงินสะสมรวม!I20)</f>
        <v>0</v>
      </c>
      <c r="K20" s="157">
        <f>SUM(แผนงานรวม!K20+เงินสะสมรวม!J20)</f>
        <v>0</v>
      </c>
      <c r="L20" s="157">
        <f>SUM(แผนงานรวม!L20+เงินสะสมรวม!K20)</f>
        <v>0</v>
      </c>
      <c r="M20" s="157">
        <f>SUM(แผนงานรวม!M20+เงินสะสมรวม!L20)</f>
        <v>0</v>
      </c>
      <c r="N20" s="157">
        <f>SUM(แผนงานรวม!N20+เงินสะสมรวม!M20)</f>
        <v>0</v>
      </c>
      <c r="O20" s="157">
        <f>SUM(แผนงานรวม!O20+เงินสะสมรวม!N20)</f>
        <v>0</v>
      </c>
    </row>
    <row r="21" spans="1:15" x14ac:dyDescent="0.55000000000000004">
      <c r="A21" s="10" t="s">
        <v>29</v>
      </c>
      <c r="B21" s="157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3994500</v>
      </c>
      <c r="C21" s="73">
        <f t="shared" si="0"/>
        <v>2996631.77</v>
      </c>
      <c r="D21" s="157">
        <f>SUM(แผนงานรวม!D21+เงินสะสมรวม!C21)</f>
        <v>25000</v>
      </c>
      <c r="E21" s="157">
        <f>SUM(แผนงานรวม!E21+เงินสะสมรวม!D21)</f>
        <v>0</v>
      </c>
      <c r="F21" s="157">
        <f>SUM(แผนงานรวม!F21+เงินสะสมรวม!E21)</f>
        <v>2362000</v>
      </c>
      <c r="G21" s="157">
        <f>SUM(แผนงานรวม!G21+เงินสะสมรวม!F21)</f>
        <v>52500</v>
      </c>
      <c r="H21" s="157">
        <f>SUM(แผนงานรวม!H21+เงินสะสมรวม!G21)</f>
        <v>0</v>
      </c>
      <c r="I21" s="157">
        <f>SUM(แผนงานรวม!I21+เงินสะสมรวม!H21)</f>
        <v>482131.77</v>
      </c>
      <c r="J21" s="157">
        <f>SUM(แผนงานรวม!J21+เงินสะสมรวม!I21)</f>
        <v>0</v>
      </c>
      <c r="K21" s="157">
        <f>SUM(แผนงานรวม!K21+เงินสะสมรวม!J21)</f>
        <v>75000</v>
      </c>
      <c r="L21" s="157">
        <f>SUM(แผนงานรวม!L21+เงินสะสมรวม!K21)</f>
        <v>0</v>
      </c>
      <c r="M21" s="157">
        <f>SUM(แผนงานรวม!M21+เงินสะสมรวม!L21)</f>
        <v>0</v>
      </c>
      <c r="N21" s="157">
        <f>SUM(แผนงานรวม!N21+เงินสะสมรวม!M21)</f>
        <v>0</v>
      </c>
      <c r="O21" s="157">
        <f>SUM(แผนงานรวม!O21+เงินสะสมรวม!N21)</f>
        <v>0</v>
      </c>
    </row>
    <row r="22" spans="1:15" x14ac:dyDescent="0.55000000000000004">
      <c r="A22" s="147" t="s">
        <v>23</v>
      </c>
      <c r="B22" s="157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3429000</v>
      </c>
      <c r="C22" s="73">
        <f t="shared" si="0"/>
        <v>3150598.66</v>
      </c>
      <c r="D22" s="157">
        <f>SUM(แผนงานรวม!D22+เงินสะสมรวม!C22)</f>
        <v>0</v>
      </c>
      <c r="E22" s="157">
        <f>SUM(แผนงานรวม!E22+เงินสะสมรวม!D22)</f>
        <v>0</v>
      </c>
      <c r="F22" s="157">
        <f>SUM(แผนงานรวม!F22+เงินสะสมรวม!E22)</f>
        <v>0</v>
      </c>
      <c r="G22" s="157">
        <f>SUM(แผนงานรวม!G22+เงินสะสมรวม!F22)</f>
        <v>0</v>
      </c>
      <c r="H22" s="157">
        <f>SUM(แผนงานรวม!H22+เงินสะสมรวม!G22)</f>
        <v>0</v>
      </c>
      <c r="I22" s="157">
        <f>SUM(แผนงานรวม!I22+เงินสะสมรวม!H22)</f>
        <v>0</v>
      </c>
      <c r="J22" s="157">
        <f>SUM(แผนงานรวม!J22+เงินสะสมรวม!I22)</f>
        <v>0</v>
      </c>
      <c r="K22" s="157">
        <f>SUM(แผนงานรวม!K22+เงินสะสมรวม!J22)</f>
        <v>0</v>
      </c>
      <c r="L22" s="157">
        <f>SUM(แผนงานรวม!L22+เงินสะสมรวม!K22)</f>
        <v>0</v>
      </c>
      <c r="M22" s="157">
        <f>SUM(แผนงานรวม!M22+เงินสะสมรวม!L22)</f>
        <v>0</v>
      </c>
      <c r="N22" s="157">
        <f>SUM(แผนงานรวม!N22+เงินสะสมรวม!M22)</f>
        <v>0</v>
      </c>
      <c r="O22" s="157">
        <f>SUM(แผนงานรวม!O22+เงินสะสมรวม!N22)</f>
        <v>3150598.66</v>
      </c>
    </row>
    <row r="23" spans="1:15" x14ac:dyDescent="0.55000000000000004">
      <c r="A23" s="147" t="s">
        <v>23</v>
      </c>
      <c r="B23" s="157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73">
        <f t="shared" si="0"/>
        <v>5098100</v>
      </c>
      <c r="D23" s="157">
        <f>SUM(แผนงานรวม!D23+เงินสะสมรวม!C23)</f>
        <v>0</v>
      </c>
      <c r="E23" s="157">
        <f>SUM(แผนงานรวม!E23+เงินสะสมรวม!D23)</f>
        <v>0</v>
      </c>
      <c r="F23" s="157">
        <f>SUM(แผนงานรวม!F23+เงินสะสมรวม!E23)</f>
        <v>0</v>
      </c>
      <c r="G23" s="157">
        <f>SUM(แผนงานรวม!G23+เงินสะสมรวม!F23)</f>
        <v>0</v>
      </c>
      <c r="H23" s="157">
        <f>SUM(แผนงานรวม!H23+เงินสะสมรวม!G23)</f>
        <v>0</v>
      </c>
      <c r="I23" s="157">
        <f>SUM(แผนงานรวม!I23+เงินสะสมรวม!H23)</f>
        <v>0</v>
      </c>
      <c r="J23" s="157">
        <f>SUM(แผนงานรวม!J23+เงินสะสมรวม!I23)</f>
        <v>0</v>
      </c>
      <c r="K23" s="157">
        <f>SUM(แผนงานรวม!K23+เงินสะสมรวม!J23)</f>
        <v>0</v>
      </c>
      <c r="L23" s="157">
        <f>SUM(แผนงานรวม!L23+เงินสะสมรวม!K23)</f>
        <v>0</v>
      </c>
      <c r="M23" s="157">
        <f>SUM(แผนงานรวม!M23+เงินสะสมรวม!L23)</f>
        <v>0</v>
      </c>
      <c r="N23" s="157">
        <f>SUM(แผนงานรวม!N23+เงินสะสมรวม!M23)</f>
        <v>0</v>
      </c>
      <c r="O23" s="157">
        <f>SUM(แผนงานรวม!O23+เงินสะสมรวม!N23)</f>
        <v>5098100</v>
      </c>
    </row>
    <row r="24" spans="1:15" x14ac:dyDescent="0.55000000000000004">
      <c r="A24" s="148"/>
      <c r="B24" s="148"/>
      <c r="C24" s="73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73"/>
    </row>
    <row r="25" spans="1:15" x14ac:dyDescent="0.55000000000000004">
      <c r="A25" s="124"/>
      <c r="B25" s="164">
        <f t="shared" ref="B25:O25" si="1">SUM(B10:B24)</f>
        <v>48398460</v>
      </c>
      <c r="C25" s="155">
        <f t="shared" si="1"/>
        <v>49883447.460000008</v>
      </c>
      <c r="D25" s="156">
        <f t="shared" si="1"/>
        <v>13776899.24</v>
      </c>
      <c r="E25" s="156">
        <f t="shared" si="1"/>
        <v>2420370.41</v>
      </c>
      <c r="F25" s="156">
        <f t="shared" si="1"/>
        <v>8737327.0600000005</v>
      </c>
      <c r="G25" s="156">
        <f t="shared" si="1"/>
        <v>1408491.53</v>
      </c>
      <c r="H25" s="156">
        <f t="shared" si="1"/>
        <v>1390002</v>
      </c>
      <c r="I25" s="156">
        <f t="shared" si="1"/>
        <v>12159497.859999999</v>
      </c>
      <c r="J25" s="156">
        <f t="shared" si="1"/>
        <v>1088872</v>
      </c>
      <c r="K25" s="156">
        <f t="shared" si="1"/>
        <v>653288.69999999995</v>
      </c>
      <c r="L25" s="156">
        <f t="shared" si="1"/>
        <v>0</v>
      </c>
      <c r="M25" s="156">
        <f t="shared" si="1"/>
        <v>0</v>
      </c>
      <c r="N25" s="156">
        <f t="shared" si="1"/>
        <v>0</v>
      </c>
      <c r="O25" s="154">
        <f t="shared" si="1"/>
        <v>8248698.6600000001</v>
      </c>
    </row>
    <row r="26" spans="1:15" x14ac:dyDescent="0.55000000000000004">
      <c r="A26" s="163" t="s">
        <v>32</v>
      </c>
      <c r="B26" s="163"/>
      <c r="C26" s="16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0"/>
    </row>
    <row r="27" spans="1:15" x14ac:dyDescent="0.55000000000000004">
      <c r="A27" s="147" t="s">
        <v>297</v>
      </c>
      <c r="B27" s="165">
        <v>2080000</v>
      </c>
      <c r="C27" s="73">
        <v>2472903.25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72"/>
    </row>
    <row r="28" spans="1:15" x14ac:dyDescent="0.55000000000000004">
      <c r="A28" s="147" t="s">
        <v>298</v>
      </c>
      <c r="B28" s="165">
        <v>1817000</v>
      </c>
      <c r="C28" s="73">
        <v>2175584.6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72"/>
    </row>
    <row r="29" spans="1:15" x14ac:dyDescent="0.55000000000000004">
      <c r="A29" s="147" t="s">
        <v>305</v>
      </c>
      <c r="B29" s="165">
        <v>1000000</v>
      </c>
      <c r="C29" s="73">
        <v>706023.89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72"/>
    </row>
    <row r="30" spans="1:15" x14ac:dyDescent="0.55000000000000004">
      <c r="A30" s="147" t="s">
        <v>299</v>
      </c>
      <c r="B30" s="165">
        <v>0</v>
      </c>
      <c r="C30" s="73"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72"/>
    </row>
    <row r="31" spans="1:15" x14ac:dyDescent="0.55000000000000004">
      <c r="A31" s="147" t="s">
        <v>300</v>
      </c>
      <c r="B31" s="165">
        <v>200000</v>
      </c>
      <c r="C31" s="73">
        <v>149610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72"/>
    </row>
    <row r="32" spans="1:15" x14ac:dyDescent="0.55000000000000004">
      <c r="A32" s="147" t="s">
        <v>301</v>
      </c>
      <c r="B32" s="165">
        <v>3000</v>
      </c>
      <c r="C32" s="73">
        <v>5900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2"/>
    </row>
    <row r="33" spans="1:15" x14ac:dyDescent="0.55000000000000004">
      <c r="A33" s="147" t="s">
        <v>302</v>
      </c>
      <c r="B33" s="165">
        <v>28000000</v>
      </c>
      <c r="C33" s="73">
        <v>23153517.539999999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72"/>
    </row>
    <row r="34" spans="1:15" x14ac:dyDescent="0.55000000000000004">
      <c r="A34" s="147" t="s">
        <v>303</v>
      </c>
      <c r="B34" s="165">
        <v>15300000</v>
      </c>
      <c r="C34" s="73">
        <v>11862744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72"/>
    </row>
    <row r="35" spans="1:15" x14ac:dyDescent="0.55000000000000004">
      <c r="A35" s="147" t="s">
        <v>304</v>
      </c>
      <c r="B35" s="165"/>
      <c r="C35" s="73">
        <v>6856600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72"/>
    </row>
    <row r="36" spans="1:15" x14ac:dyDescent="0.55000000000000004">
      <c r="A36" s="162"/>
      <c r="B36" s="166">
        <f>SUM(B27:B35)</f>
        <v>48400000</v>
      </c>
      <c r="C36" s="155">
        <f>SUM(C27:C35)</f>
        <v>47382883.280000001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4"/>
    </row>
    <row r="37" spans="1:15" ht="24.75" thickBot="1" x14ac:dyDescent="0.6">
      <c r="A37" s="167" t="s">
        <v>306</v>
      </c>
      <c r="B37" s="77"/>
      <c r="C37" s="76">
        <f>SUM(C36-C25)</f>
        <v>-2500564.1800000072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78"/>
    </row>
    <row r="38" spans="1:15" ht="24.75" thickTop="1" x14ac:dyDescent="0.55000000000000004">
      <c r="A38" s="77"/>
      <c r="B38" s="77"/>
      <c r="C38" s="7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8"/>
    </row>
    <row r="39" spans="1:15" x14ac:dyDescent="0.55000000000000004">
      <c r="A39" s="77"/>
      <c r="B39" s="77"/>
      <c r="C39" s="79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78"/>
    </row>
    <row r="40" spans="1:15" x14ac:dyDescent="0.55000000000000004">
      <c r="A40" s="77"/>
      <c r="B40" s="77"/>
      <c r="C40" s="7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78"/>
    </row>
    <row r="41" spans="1:15" x14ac:dyDescent="0.55000000000000004">
      <c r="A41" s="77"/>
      <c r="B41" s="77"/>
      <c r="C41" s="79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78"/>
    </row>
    <row r="42" spans="1:15" x14ac:dyDescent="0.55000000000000004">
      <c r="A42" s="77"/>
      <c r="B42" s="77"/>
      <c r="C42" s="7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78"/>
    </row>
    <row r="43" spans="1:15" x14ac:dyDescent="0.55000000000000004">
      <c r="A43" s="77"/>
      <c r="B43" s="77"/>
      <c r="C43" s="7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8"/>
    </row>
    <row r="44" spans="1:15" x14ac:dyDescent="0.55000000000000004">
      <c r="A44" s="77"/>
      <c r="B44" s="77"/>
      <c r="C44" s="7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8"/>
    </row>
    <row r="45" spans="1:15" x14ac:dyDescent="0.55000000000000004">
      <c r="A45" s="77"/>
      <c r="B45" s="77"/>
      <c r="C45" s="7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78"/>
    </row>
    <row r="46" spans="1:15" x14ac:dyDescent="0.55000000000000004">
      <c r="A46" s="77"/>
      <c r="B46" s="77"/>
      <c r="C46" s="7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78"/>
    </row>
    <row r="47" spans="1:15" x14ac:dyDescent="0.55000000000000004">
      <c r="A47" s="77"/>
      <c r="B47" s="77"/>
      <c r="C47" s="79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78"/>
    </row>
  </sheetData>
  <mergeCells count="19">
    <mergeCell ref="G6:G8"/>
    <mergeCell ref="H6:H8"/>
    <mergeCell ref="I6:I8"/>
    <mergeCell ref="M6:M8"/>
    <mergeCell ref="N6:N8"/>
    <mergeCell ref="A1:O1"/>
    <mergeCell ref="A2:O2"/>
    <mergeCell ref="A3:O3"/>
    <mergeCell ref="O6:O8"/>
    <mergeCell ref="A4:A8"/>
    <mergeCell ref="B4:B8"/>
    <mergeCell ref="C4:C8"/>
    <mergeCell ref="D4:O5"/>
    <mergeCell ref="J6:J8"/>
    <mergeCell ref="K6:K8"/>
    <mergeCell ref="L6:L8"/>
    <mergeCell ref="D6:D8"/>
    <mergeCell ref="E6:E8"/>
    <mergeCell ref="F6:F8"/>
  </mergeCells>
  <printOptions horizontalCentered="1"/>
  <pageMargins left="7.874015748031496E-2" right="7.874015748031496E-2" top="0.62992125984251968" bottom="0.74803149606299213" header="0.31496062992125984" footer="0.31496062992125984"/>
  <pageSetup paperSize="9" scale="60" orientation="landscape" horizontalDpi="120" verticalDpi="18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7"/>
  <sheetViews>
    <sheetView workbookViewId="0">
      <selection activeCell="D36" sqref="D36"/>
    </sheetView>
  </sheetViews>
  <sheetFormatPr defaultColWidth="13" defaultRowHeight="24" x14ac:dyDescent="0.55000000000000004"/>
  <cols>
    <col min="1" max="2" width="19.85546875" style="17" customWidth="1"/>
    <col min="3" max="4" width="15.7109375" style="17" bestFit="1" customWidth="1"/>
    <col min="5" max="5" width="16" style="17" customWidth="1"/>
    <col min="6" max="8" width="14.5703125" style="17" bestFit="1" customWidth="1"/>
    <col min="9" max="9" width="15.7109375" style="17" bestFit="1" customWidth="1"/>
    <col min="10" max="10" width="16" style="17" customWidth="1"/>
    <col min="11" max="11" width="27.7109375" style="17" bestFit="1" customWidth="1"/>
    <col min="12" max="12" width="21.85546875" style="17" bestFit="1" customWidth="1"/>
    <col min="13" max="13" width="9.28515625" style="17" bestFit="1" customWidth="1"/>
    <col min="14" max="14" width="10.7109375" style="17" bestFit="1" customWidth="1"/>
    <col min="15" max="15" width="14.570312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309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21</v>
      </c>
      <c r="B4" s="286" t="s">
        <v>22</v>
      </c>
      <c r="C4" s="286" t="s">
        <v>9</v>
      </c>
      <c r="D4" s="293" t="s">
        <v>229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84"/>
    </row>
    <row r="5" spans="1:27" x14ac:dyDescent="0.55000000000000004">
      <c r="A5" s="291"/>
      <c r="B5" s="291"/>
      <c r="C5" s="291"/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2"/>
    </row>
    <row r="6" spans="1:27" x14ac:dyDescent="0.55000000000000004">
      <c r="A6" s="291"/>
      <c r="B6" s="291"/>
      <c r="C6" s="291"/>
      <c r="D6" s="286" t="s">
        <v>93</v>
      </c>
      <c r="E6" s="290" t="s">
        <v>92</v>
      </c>
      <c r="F6" s="290" t="s">
        <v>83</v>
      </c>
      <c r="G6" s="290" t="s">
        <v>64</v>
      </c>
      <c r="H6" s="290" t="s">
        <v>74</v>
      </c>
      <c r="I6" s="290" t="s">
        <v>91</v>
      </c>
      <c r="J6" s="290" t="s">
        <v>350</v>
      </c>
      <c r="K6" s="290" t="s">
        <v>289</v>
      </c>
      <c r="L6" s="290" t="s">
        <v>290</v>
      </c>
      <c r="M6" s="290" t="s">
        <v>291</v>
      </c>
      <c r="N6" s="290" t="s">
        <v>31</v>
      </c>
      <c r="O6" s="290" t="s">
        <v>23</v>
      </c>
    </row>
    <row r="7" spans="1:27" ht="21" customHeight="1" x14ac:dyDescent="0.55000000000000004">
      <c r="A7" s="291"/>
      <c r="B7" s="291"/>
      <c r="C7" s="291"/>
      <c r="D7" s="291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7" ht="21" customHeight="1" x14ac:dyDescent="0.55000000000000004">
      <c r="A8" s="287"/>
      <c r="B8" s="287"/>
      <c r="C8" s="287"/>
      <c r="D8" s="287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7" x14ac:dyDescent="0.55000000000000004">
      <c r="A9" s="159" t="s">
        <v>24</v>
      </c>
      <c r="B9" s="15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144</v>
      </c>
      <c r="B10" s="157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2758000</v>
      </c>
      <c r="C10" s="73">
        <f>SUM(D10:O10)</f>
        <v>2848320</v>
      </c>
      <c r="D10" s="157">
        <f>SUM(แผนงานรวม!D10+เงินสะสมรวม!C10+เงินทุนสำรองเงินสะสม!C10)</f>
        <v>2848320</v>
      </c>
      <c r="E10" s="157">
        <f>SUM(แผนงานรวม!E10+เงินสะสมรวม!D10+เงินทุนสำรองเงินสะสม!D10)</f>
        <v>0</v>
      </c>
      <c r="F10" s="157">
        <f>SUM(แผนงานรวม!F10+เงินสะสมรวม!E10+เงินทุนสำรองเงินสะสม!E10)</f>
        <v>0</v>
      </c>
      <c r="G10" s="157">
        <f>SUM(แผนงานรวม!G10+เงินสะสมรวม!F10+เงินทุนสำรองเงินสะสม!F10)</f>
        <v>0</v>
      </c>
      <c r="H10" s="157">
        <f>SUM(แผนงานรวม!H10+เงินสะสมรวม!G10+เงินทุนสำรองเงินสะสม!G10)</f>
        <v>0</v>
      </c>
      <c r="I10" s="157">
        <f>SUM(แผนงานรวม!I10+เงินสะสมรวม!H10+เงินทุนสำรองเงินสะสม!H10)</f>
        <v>0</v>
      </c>
      <c r="J10" s="157">
        <f>SUM(แผนงานรวม!J10+เงินสะสมรวม!I10+เงินทุนสำรองเงินสะสม!I10)</f>
        <v>0</v>
      </c>
      <c r="K10" s="157">
        <f>SUM(แผนงานรวม!K10+เงินสะสมรวม!J10+เงินทุนสำรองเงินสะสม!J10)</f>
        <v>0</v>
      </c>
      <c r="L10" s="157">
        <f>SUM(แผนงานรวม!L10+เงินสะสมรวม!K10+เงินทุนสำรองเงินสะสม!K10)</f>
        <v>0</v>
      </c>
      <c r="M10" s="157">
        <f>SUM(แผนงานรวม!M10+เงินสะสมรวม!L10+เงินทุนสำรองเงินสะสม!L10)</f>
        <v>0</v>
      </c>
      <c r="N10" s="157">
        <f>SUM(แผนงานรวม!N10+เงินสะสมรวม!M10+เงินทุนสำรองเงินสะสม!M10)</f>
        <v>0</v>
      </c>
      <c r="O10" s="157">
        <f>SUM(แผนงานรวม!O10+เงินสะสมรวม!N10+เงินทุนสำรองเงินสะสม!N10)</f>
        <v>0</v>
      </c>
      <c r="P10" s="67"/>
    </row>
    <row r="11" spans="1:27" x14ac:dyDescent="0.55000000000000004">
      <c r="A11" s="147" t="s">
        <v>145</v>
      </c>
      <c r="B11" s="157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13284400</v>
      </c>
      <c r="C11" s="73">
        <f t="shared" ref="C11:C23" si="0">SUM(D11:O11)</f>
        <v>12900589.07</v>
      </c>
      <c r="D11" s="157">
        <f>SUM(แผนงานรวม!D11+เงินสะสมรวม!C11+เงินทุนสำรองเงินสะสม!C11)</f>
        <v>5419890.2400000002</v>
      </c>
      <c r="E11" s="157">
        <f>SUM(แผนงานรวม!E11+เงินสะสมรวม!D11+เงินทุนสำรองเงินสะสม!D11)</f>
        <v>1311168.06</v>
      </c>
      <c r="F11" s="157">
        <f>SUM(แผนงานรวม!F11+เงินสะสมรวม!E11+เงินทุนสำรองเงินสะสม!E11)</f>
        <v>872560</v>
      </c>
      <c r="G11" s="157">
        <f>SUM(แผนงานรวม!G11+เงินสะสมรวม!F11+เงินทุนสำรองเงินสะสม!F11)</f>
        <v>863012</v>
      </c>
      <c r="H11" s="157">
        <f>SUM(แผนงานรวม!H11+เงินสะสมรวม!G11+เงินทุนสำรองเงินสะสม!G11)</f>
        <v>1140960</v>
      </c>
      <c r="I11" s="157">
        <f>SUM(แผนงานรวม!I11+เงินสะสมรวม!H11+เงินทุนสำรองเงินสะสม!H11)</f>
        <v>3292998.77</v>
      </c>
      <c r="J11" s="157">
        <f>SUM(แผนงานรวม!J11+เงินสะสมรวม!I11+เงินทุนสำรองเงินสะสม!I11)</f>
        <v>0</v>
      </c>
      <c r="K11" s="157">
        <f>SUM(แผนงานรวม!K11+เงินสะสมรวม!J11+เงินทุนสำรองเงินสะสม!J11)</f>
        <v>0</v>
      </c>
      <c r="L11" s="157">
        <f>SUM(แผนงานรวม!L11+เงินสะสมรวม!K11+เงินทุนสำรองเงินสะสม!K11)</f>
        <v>0</v>
      </c>
      <c r="M11" s="157">
        <f>SUM(แผนงานรวม!M11+เงินสะสมรวม!L11+เงินทุนสำรองเงินสะสม!L11)</f>
        <v>0</v>
      </c>
      <c r="N11" s="157">
        <f>SUM(แผนงานรวม!N11+เงินสะสมรวม!M11+เงินทุนสำรองเงินสะสม!M11)</f>
        <v>0</v>
      </c>
      <c r="O11" s="157">
        <f>SUM(แผนงานรวม!O11+เงินสะสมรวม!N11+เงินทุนสำรองเงินสะสม!N11)</f>
        <v>0</v>
      </c>
    </row>
    <row r="12" spans="1:27" x14ac:dyDescent="0.55000000000000004">
      <c r="A12" s="10" t="s">
        <v>25</v>
      </c>
      <c r="B12" s="157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1967600</v>
      </c>
      <c r="C12" s="73">
        <f t="shared" si="0"/>
        <v>1316504</v>
      </c>
      <c r="D12" s="157">
        <f>SUM(แผนงานรวม!D12+เงินสะสมรวม!C12+เงินทุนสำรองเงินสะสม!C12)</f>
        <v>912915</v>
      </c>
      <c r="E12" s="157">
        <f>SUM(แผนงานรวม!E12+เงินสะสมรวม!D12+เงินทุนสำรองเงินสะสม!D12)</f>
        <v>9000</v>
      </c>
      <c r="F12" s="157">
        <f>SUM(แผนงานรวม!F12+เงินสะสมรวม!E12+เงินทุนสำรองเงินสะสม!E12)</f>
        <v>40260</v>
      </c>
      <c r="G12" s="157">
        <f>SUM(แผนงานรวม!G12+เงินสะสมรวม!F12+เงินทุนสำรองเงินสะสม!F12)</f>
        <v>45850</v>
      </c>
      <c r="H12" s="157">
        <f>SUM(แผนงานรวม!H12+เงินสะสมรวม!G12+เงินทุนสำรองเงินสะสม!G12)</f>
        <v>72000</v>
      </c>
      <c r="I12" s="157">
        <f>SUM(แผนงานรวม!I12+เงินสะสมรวม!H12+เงินทุนสำรองเงินสะสม!H12)</f>
        <v>236479</v>
      </c>
      <c r="J12" s="157">
        <f>SUM(แผนงานรวม!J12+เงินสะสมรวม!I12+เงินทุนสำรองเงินสะสม!I12)</f>
        <v>0</v>
      </c>
      <c r="K12" s="157">
        <f>SUM(แผนงานรวม!K12+เงินสะสมรวม!J12+เงินทุนสำรองเงินสะสม!J12)</f>
        <v>0</v>
      </c>
      <c r="L12" s="157">
        <f>SUM(แผนงานรวม!L12+เงินสะสมรวม!K12+เงินทุนสำรองเงินสะสม!K12)</f>
        <v>0</v>
      </c>
      <c r="M12" s="157">
        <f>SUM(แผนงานรวม!M12+เงินสะสมรวม!L12+เงินทุนสำรองเงินสะสม!L12)</f>
        <v>0</v>
      </c>
      <c r="N12" s="157">
        <f>SUM(แผนงานรวม!N12+เงินสะสมรวม!M12+เงินทุนสำรองเงินสะสม!M12)</f>
        <v>0</v>
      </c>
      <c r="O12" s="157">
        <f>SUM(แผนงานรวม!O12+เงินสะสมรวม!N12+เงินทุนสำรองเงินสะสม!N12)</f>
        <v>0</v>
      </c>
    </row>
    <row r="13" spans="1:27" x14ac:dyDescent="0.55000000000000004">
      <c r="A13" s="151" t="s">
        <v>26</v>
      </c>
      <c r="B13" s="157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7940000</v>
      </c>
      <c r="C13" s="73">
        <f t="shared" si="0"/>
        <v>7171447.4800000004</v>
      </c>
      <c r="D13" s="157">
        <f>SUM(แผนงานรวม!D13+เงินสะสมรวม!C13+เงินทุนสำรองเงินสะสม!C13)</f>
        <v>1895010.1</v>
      </c>
      <c r="E13" s="157">
        <f>SUM(แผนงานรวม!E13+เงินสะสมรวม!D13+เงินทุนสำรองเงินสะสม!D13)</f>
        <v>272882.98</v>
      </c>
      <c r="F13" s="157">
        <f>SUM(แผนงานรวม!F13+เงินสะสมรวม!E13+เงินทุนสำรองเงินสะสม!E13)</f>
        <v>700130.5</v>
      </c>
      <c r="G13" s="157">
        <f>SUM(แผนงานรวม!G13+เงินสะสมรวม!F13+เงินทุนสำรองเงินสะสม!F13)</f>
        <v>323773</v>
      </c>
      <c r="H13" s="157">
        <f>SUM(แผนงานรวม!H13+เงินสะสมรวม!G13+เงินทุนสำรองเงินสะสม!G13)</f>
        <v>31380</v>
      </c>
      <c r="I13" s="157">
        <f>SUM(แผนงานรวม!I13+เงินสะสมรวม!H13+เงินทุนสำรองเงินสะสม!H13)</f>
        <v>2353610.2000000002</v>
      </c>
      <c r="J13" s="157">
        <f>SUM(แผนงานรวม!J13+เงินสะสมรวม!I13+เงินทุนสำรองเงินสะสม!I13)</f>
        <v>1076372</v>
      </c>
      <c r="K13" s="157">
        <f>SUM(แผนงานรวม!K13+เงินสะสมรวม!J13+เงินทุนสำรองเงินสะสม!J13)</f>
        <v>518288.69999999995</v>
      </c>
      <c r="L13" s="157">
        <f>SUM(แผนงานรวม!L13+เงินสะสมรวม!K13+เงินทุนสำรองเงินสะสม!K13)</f>
        <v>0</v>
      </c>
      <c r="M13" s="157">
        <f>SUM(แผนงานรวม!M13+เงินสะสมรวม!L13+เงินทุนสำรองเงินสะสม!L13)</f>
        <v>0</v>
      </c>
      <c r="N13" s="157">
        <f>SUM(แผนงานรวม!N13+เงินสะสมรวม!M13+เงินทุนสำรองเงินสะสม!M13)</f>
        <v>0</v>
      </c>
      <c r="O13" s="157">
        <f>SUM(แผนงานรวม!O13+เงินสะสมรวม!N13+เงินทุนสำรองเงินสะสม!N13)</f>
        <v>0</v>
      </c>
    </row>
    <row r="14" spans="1:27" x14ac:dyDescent="0.55000000000000004">
      <c r="A14" s="151" t="s">
        <v>26</v>
      </c>
      <c r="B14" s="157"/>
      <c r="C14" s="73">
        <f>SUM(D14:O14)</f>
        <v>52500</v>
      </c>
      <c r="D14" s="157">
        <f>SUM(แผนงานรวม!D14+เงินสะสมรวม!C14+เงินทุนสำรองเงินสะสม!C14)</f>
        <v>0</v>
      </c>
      <c r="E14" s="157">
        <f>SUM(แผนงานรวม!E14+เงินสะสมรวม!D14+เงินทุนสำรองเงินสะสม!D14)</f>
        <v>0</v>
      </c>
      <c r="F14" s="157">
        <f>SUM(แผนงานรวม!F14+เงินสะสมรวม!E14+เงินทุนสำรองเงินสะสม!E14)</f>
        <v>0</v>
      </c>
      <c r="G14" s="157">
        <f>SUM(แผนงานรวม!G14+เงินสะสมรวม!F14+เงินทุนสำรองเงินสะสม!F14)</f>
        <v>0</v>
      </c>
      <c r="H14" s="157">
        <f>SUM(แผนงานรวม!H14+เงินสะสมรวม!G14+เงินทุนสำรองเงินสะสม!G14)</f>
        <v>40000</v>
      </c>
      <c r="I14" s="157">
        <f>SUM(แผนงานรวม!I14+เงินสะสมรวม!H14+เงินทุนสำรองเงินสะสม!H14)</f>
        <v>0</v>
      </c>
      <c r="J14" s="157">
        <f>SUM(แผนงานรวม!J14+เงินสะสมรวม!I14+เงินทุนสำรองเงินสะสม!I14)</f>
        <v>12500</v>
      </c>
      <c r="K14" s="157">
        <f>SUM(แผนงานรวม!K14+เงินสะสมรวม!J14+เงินทุนสำรองเงินสะสม!J14)</f>
        <v>0</v>
      </c>
      <c r="L14" s="157">
        <f>SUM(แผนงานรวม!L14+เงินสะสมรวม!K14+เงินทุนสำรองเงินสะสม!K14)</f>
        <v>0</v>
      </c>
      <c r="M14" s="157">
        <f>SUM(แผนงานรวม!M14+เงินสะสมรวม!L14+เงินทุนสำรองเงินสะสม!L14)</f>
        <v>0</v>
      </c>
      <c r="N14" s="157">
        <f>SUM(แผนงานรวม!N14+เงินสะสมรวม!M14+เงินทุนสำรองเงินสะสม!M14)</f>
        <v>0</v>
      </c>
      <c r="O14" s="157">
        <f>SUM(แผนงานรวม!O14+เงินสะสมรวม!N14+เงินทุนสำรองเงินสะสม!N14)</f>
        <v>0</v>
      </c>
    </row>
    <row r="15" spans="1:27" x14ac:dyDescent="0.55000000000000004">
      <c r="A15" s="147" t="s">
        <v>27</v>
      </c>
      <c r="B15" s="157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4904560</v>
      </c>
      <c r="C15" s="73">
        <f t="shared" si="0"/>
        <v>4203810.17</v>
      </c>
      <c r="D15" s="157">
        <f>SUM(แผนงานรวม!D15+เงินสะสมรวม!C15+เงินทุนสำรองเงินสะสม!C15)</f>
        <v>812882.22</v>
      </c>
      <c r="E15" s="157">
        <f>SUM(แผนงานรวม!E15+เงินสะสมรวม!D15+เงินทุนสำรองเงินสะสม!D15)</f>
        <v>299319.37</v>
      </c>
      <c r="F15" s="157">
        <f>SUM(แผนงานรวม!F15+เงินสะสมรวม!E15+เงินทุนสำรองเงินสะสม!E15)</f>
        <v>1718256.56</v>
      </c>
      <c r="G15" s="157">
        <f>SUM(แผนงานรวม!G15+เงินสะสมรวม!F15+เงินทุนสำรองเงินสะสม!F15)</f>
        <v>45090</v>
      </c>
      <c r="H15" s="157">
        <f>SUM(แผนงานรวม!H15+เงินสะสมรวม!G15+เงินทุนสำรองเงินสะสม!G15)</f>
        <v>66924</v>
      </c>
      <c r="I15" s="157">
        <f>SUM(แผนงานรวม!I15+เงินสะสมรวม!H15+เงินทุนสำรองเงินสะสม!H15)</f>
        <v>1201338.02</v>
      </c>
      <c r="J15" s="157">
        <f>SUM(แผนงานรวม!J15+เงินสะสมรวม!I15+เงินทุนสำรองเงินสะสม!I15)</f>
        <v>0</v>
      </c>
      <c r="K15" s="157">
        <f>SUM(แผนงานรวม!K15+เงินสะสมรวม!J15+เงินทุนสำรองเงินสะสม!J15)</f>
        <v>60000</v>
      </c>
      <c r="L15" s="157">
        <f>SUM(แผนงานรวม!L15+เงินสะสมรวม!K15+เงินทุนสำรองเงินสะสม!K15)</f>
        <v>0</v>
      </c>
      <c r="M15" s="157">
        <f>SUM(แผนงานรวม!M15+เงินสะสมรวม!L15+เงินทุนสำรองเงินสะสม!L15)</f>
        <v>0</v>
      </c>
      <c r="N15" s="157">
        <f>SUM(แผนงานรวม!N15+เงินสะสมรวม!M15+เงินทุนสำรองเงินสะสม!M15)</f>
        <v>0</v>
      </c>
      <c r="O15" s="157">
        <f>SUM(แผนงานรวม!O15+เงินสะสมรวม!N15+เงินทุนสำรองเงินสะสม!N15)</f>
        <v>0</v>
      </c>
      <c r="P15" s="67"/>
    </row>
    <row r="16" spans="1:27" x14ac:dyDescent="0.55000000000000004">
      <c r="A16" s="147" t="s">
        <v>28</v>
      </c>
      <c r="B16" s="157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1076500</v>
      </c>
      <c r="C16" s="73">
        <f t="shared" si="0"/>
        <v>858136.31</v>
      </c>
      <c r="D16" s="157">
        <f>SUM(แผนงานรวม!D16+เงินสะสมรวม!C16+เงินทุนสำรองเงินสะสม!C16)</f>
        <v>820551.68000000005</v>
      </c>
      <c r="E16" s="157">
        <f>SUM(แผนงานรวม!E16+เงินสะสมรวม!D16+เงินทุนสำรองเงินสะสม!D16)</f>
        <v>0</v>
      </c>
      <c r="F16" s="157">
        <f>SUM(แผนงานรวม!F16+เงินสะสมรวม!E16+เงินทุนสำรองเงินสะสม!E16)</f>
        <v>0</v>
      </c>
      <c r="G16" s="157">
        <f>SUM(แผนงานรวม!G16+เงินสะสมรวม!F16+เงินทุนสำรองเงินสะสม!F16)</f>
        <v>1476.53</v>
      </c>
      <c r="H16" s="157">
        <f>SUM(แผนงานรวม!H16+เงินสะสมรวม!G16+เงินทุนสำรองเงินสะสม!G16)</f>
        <v>838</v>
      </c>
      <c r="I16" s="157">
        <f>SUM(แผนงานรวม!I16+เงินสะสมรวม!H16+เงินทุนสำรองเงินสะสม!H16)</f>
        <v>35270.1</v>
      </c>
      <c r="J16" s="157">
        <f>SUM(แผนงานรวม!J16+เงินสะสมรวม!I16+เงินทุนสำรองเงินสะสม!I16)</f>
        <v>0</v>
      </c>
      <c r="K16" s="157">
        <f>SUM(แผนงานรวม!K16+เงินสะสมรวม!J16+เงินทุนสำรองเงินสะสม!J16)</f>
        <v>0</v>
      </c>
      <c r="L16" s="157">
        <f>SUM(แผนงานรวม!L16+เงินสะสมรวม!K16+เงินทุนสำรองเงินสะสม!K16)</f>
        <v>0</v>
      </c>
      <c r="M16" s="157">
        <f>SUM(แผนงานรวม!M16+เงินสะสมรวม!L16+เงินทุนสำรองเงินสะสม!L16)</f>
        <v>0</v>
      </c>
      <c r="N16" s="157">
        <f>SUM(แผนงานรวม!N16+เงินสะสมรวม!M16+เงินทุนสำรองเงินสะสม!M16)</f>
        <v>0</v>
      </c>
      <c r="O16" s="157">
        <f>SUM(แผนงานรวม!O16+เงินสะสมรวม!N16+เงินทุนสำรองเงินสะสม!N16)</f>
        <v>0</v>
      </c>
    </row>
    <row r="17" spans="1:15" x14ac:dyDescent="0.55000000000000004">
      <c r="A17" s="147" t="s">
        <v>349</v>
      </c>
      <c r="B17" s="157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2256900</v>
      </c>
      <c r="C17" s="73">
        <f t="shared" si="0"/>
        <v>2003840</v>
      </c>
      <c r="D17" s="157">
        <f>SUM(แผนงานรวม!D17+เงินสะสมรวม!C17+เงินทุนสำรองเงินสะสม!C17)</f>
        <v>775630</v>
      </c>
      <c r="E17" s="157">
        <f>SUM(แผนงานรวม!E17+เงินสะสมรวม!D17+เงินทุนสำรองเงินสะสม!D17)</f>
        <v>528000</v>
      </c>
      <c r="F17" s="157">
        <f>SUM(แผนงานรวม!F17+เงินสะสมรวม!E17+เงินทุนสำรองเงินสะสม!E17)</f>
        <v>251120</v>
      </c>
      <c r="G17" s="157">
        <f>SUM(แผนงานรวม!G17+เงินสะสมรวม!F17+เงินทุนสำรองเงินสะสม!F17)</f>
        <v>76790</v>
      </c>
      <c r="H17" s="157">
        <f>SUM(แผนงานรวม!H17+เงินสะสมรวม!G17+เงินทุนสำรองเงินสะสม!G17)</f>
        <v>37900</v>
      </c>
      <c r="I17" s="157">
        <f>SUM(แผนงานรวม!I17+เงินสะสมรวม!H17+เงินทุนสำรองเงินสะสม!H17)</f>
        <v>334400</v>
      </c>
      <c r="J17" s="157">
        <f>SUM(แผนงานรวม!J17+เงินสะสมรวม!I17+เงินทุนสำรองเงินสะสม!I17)</f>
        <v>0</v>
      </c>
      <c r="K17" s="157">
        <f>SUM(แผนงานรวม!K17+เงินสะสมรวม!J17+เงินทุนสำรองเงินสะสม!J17)</f>
        <v>0</v>
      </c>
      <c r="L17" s="157">
        <f>SUM(แผนงานรวม!L17+เงินสะสมรวม!K17+เงินทุนสำรองเงินสะสม!K17)</f>
        <v>0</v>
      </c>
      <c r="M17" s="157">
        <f>SUM(แผนงานรวม!M17+เงินสะสมรวม!L17+เงินทุนสำรองเงินสะสม!L17)</f>
        <v>0</v>
      </c>
      <c r="N17" s="157">
        <f>SUM(แผนงานรวม!N17+เงินสะสมรวม!M17+เงินทุนสำรองเงินสะสม!M17)</f>
        <v>0</v>
      </c>
      <c r="O17" s="157">
        <f>SUM(แผนงานรวม!O17+เงินสะสมรวม!N17+เงินทุนสำรองเงินสะสม!N17)</f>
        <v>0</v>
      </c>
    </row>
    <row r="18" spans="1:15" x14ac:dyDescent="0.55000000000000004">
      <c r="A18" s="147" t="s">
        <v>52</v>
      </c>
      <c r="B18" s="157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6787000</v>
      </c>
      <c r="C18" s="73">
        <f t="shared" si="0"/>
        <v>13786970</v>
      </c>
      <c r="D18" s="157">
        <f>SUM(แผนงานรวม!D18+เงินสะสมรวม!C18+เงินทุนสำรองเงินสะสม!C18)</f>
        <v>266700</v>
      </c>
      <c r="E18" s="157">
        <f>SUM(แผนงานรวม!E18+เงินสะสมรวม!D18+เงินทุนสำรองเงินสะสม!D18)</f>
        <v>0</v>
      </c>
      <c r="F18" s="157">
        <f>SUM(แผนงานรวม!F18+เงินสะสมรวม!E18+เงินทุนสำรองเงินสะสม!E18)</f>
        <v>2793000</v>
      </c>
      <c r="G18" s="157">
        <f>SUM(แผนงานรวม!G18+เงินสะสมรวม!F18+เงินทุนสำรองเงินสะสม!F18)</f>
        <v>0</v>
      </c>
      <c r="H18" s="157">
        <f>SUM(แผนงานรวม!H18+เงินสะสมรวม!G18+เงินทุนสำรองเงินสะสม!G18)</f>
        <v>0</v>
      </c>
      <c r="I18" s="157">
        <f>SUM(แผนงานรวม!I18+เงินสะสมรวม!H18+เงินทุนสำรองเงินสะสม!H18)</f>
        <v>10727270</v>
      </c>
      <c r="J18" s="157">
        <f>SUM(แผนงานรวม!J18+เงินสะสมรวม!I18+เงินทุนสำรองเงินสะสม!I18)</f>
        <v>0</v>
      </c>
      <c r="K18" s="157">
        <f>SUM(แผนงานรวม!K18+เงินสะสมรวม!J18+เงินทุนสำรองเงินสะสม!J18)</f>
        <v>0</v>
      </c>
      <c r="L18" s="157">
        <f>SUM(แผนงานรวม!L18+เงินสะสมรวม!K18+เงินทุนสำรองเงินสะสม!K18)</f>
        <v>0</v>
      </c>
      <c r="M18" s="157">
        <f>SUM(แผนงานรวม!M18+เงินสะสมรวม!L18+เงินทุนสำรองเงินสะสม!L18)</f>
        <v>0</v>
      </c>
      <c r="N18" s="157">
        <f>SUM(แผนงานรวม!N18+เงินสะสมรวม!M18+เงินทุนสำรองเงินสะสม!M18)</f>
        <v>0</v>
      </c>
      <c r="O18" s="157">
        <f>SUM(แผนงานรวม!O18+เงินสะสมรวม!N18+เงินทุนสำรองเงินสะสม!N18)</f>
        <v>0</v>
      </c>
    </row>
    <row r="19" spans="1:15" x14ac:dyDescent="0.55000000000000004">
      <c r="A19" s="147" t="s">
        <v>52</v>
      </c>
      <c r="B19" s="157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73">
        <f t="shared" si="0"/>
        <v>1706000</v>
      </c>
      <c r="D19" s="157">
        <f>SUM(แผนงานรวม!D19+เงินสะสมรวม!C19+เงินทุนสำรองเงินสะสม!C19)</f>
        <v>0</v>
      </c>
      <c r="E19" s="157">
        <f>SUM(แผนงานรวม!E19+เงินสะสมรวม!D19+เงินทุนสำรองเงินสะสม!D19)</f>
        <v>0</v>
      </c>
      <c r="F19" s="157">
        <f>SUM(แผนงานรวม!F19+เงินสะสมรวม!E19+เงินทุนสำรองเงินสะสม!E19)</f>
        <v>0</v>
      </c>
      <c r="G19" s="157">
        <f>SUM(แผนงานรวม!G19+เงินสะสมรวม!F19+เงินทุนสำรองเงินสะสม!F19)</f>
        <v>0</v>
      </c>
      <c r="H19" s="157">
        <f>SUM(แผนงานรวม!H19+เงินสะสมรวม!G19+เงินทุนสำรองเงินสะสม!G19)</f>
        <v>0</v>
      </c>
      <c r="I19" s="157">
        <f>SUM(แผนงานรวม!I19+เงินสะสมรวม!H19+เงินทุนสำรองเงินสะสม!H19)</f>
        <v>1706000</v>
      </c>
      <c r="J19" s="157">
        <f>SUM(แผนงานรวม!J19+เงินสะสมรวม!I19+เงินทุนสำรองเงินสะสม!I19)</f>
        <v>0</v>
      </c>
      <c r="K19" s="157">
        <f>SUM(แผนงานรวม!K19+เงินสะสมรวม!J19+เงินทุนสำรองเงินสะสม!J19)</f>
        <v>0</v>
      </c>
      <c r="L19" s="157">
        <f>SUM(แผนงานรวม!L19+เงินสะสมรวม!K19+เงินทุนสำรองเงินสะสม!K19)</f>
        <v>0</v>
      </c>
      <c r="M19" s="157">
        <f>SUM(แผนงานรวม!M19+เงินสะสมรวม!L19+เงินทุนสำรองเงินสะสม!L19)</f>
        <v>0</v>
      </c>
      <c r="N19" s="157">
        <f>SUM(แผนงานรวม!N19+เงินสะสมรวม!M19+เงินทุนสำรองเงินสะสม!M19)</f>
        <v>0</v>
      </c>
      <c r="O19" s="157">
        <f>SUM(แผนงานรวม!O19+เงินสะสมรวม!N19+เงินทุนสำรองเงินสะสม!N19)</f>
        <v>0</v>
      </c>
    </row>
    <row r="20" spans="1:15" x14ac:dyDescent="0.55000000000000004">
      <c r="A20" s="10" t="s">
        <v>56</v>
      </c>
      <c r="B20" s="157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73">
        <f t="shared" si="0"/>
        <v>0</v>
      </c>
      <c r="D20" s="157">
        <f>SUM(แผนงานรวม!D20+เงินสะสมรวม!C20+เงินทุนสำรองเงินสะสม!C20)</f>
        <v>0</v>
      </c>
      <c r="E20" s="157">
        <f>SUM(แผนงานรวม!E20+เงินสะสมรวม!D20+เงินทุนสำรองเงินสะสม!D20)</f>
        <v>0</v>
      </c>
      <c r="F20" s="157">
        <f>SUM(แผนงานรวม!F20+เงินสะสมรวม!E20+เงินทุนสำรองเงินสะสม!E20)</f>
        <v>0</v>
      </c>
      <c r="G20" s="157">
        <f>SUM(แผนงานรวม!G20+เงินสะสมรวม!F20+เงินทุนสำรองเงินสะสม!F20)</f>
        <v>0</v>
      </c>
      <c r="H20" s="157">
        <f>SUM(แผนงานรวม!H20+เงินสะสมรวม!G20+เงินทุนสำรองเงินสะสม!G20)</f>
        <v>0</v>
      </c>
      <c r="I20" s="157">
        <f>SUM(แผนงานรวม!I20+เงินสะสมรวม!H20+เงินทุนสำรองเงินสะสม!H20)</f>
        <v>0</v>
      </c>
      <c r="J20" s="157">
        <f>SUM(แผนงานรวม!J20+เงินสะสมรวม!I20+เงินทุนสำรองเงินสะสม!I20)</f>
        <v>0</v>
      </c>
      <c r="K20" s="157">
        <f>SUM(แผนงานรวม!K20+เงินสะสมรวม!J20+เงินทุนสำรองเงินสะสม!J20)</f>
        <v>0</v>
      </c>
      <c r="L20" s="157">
        <f>SUM(แผนงานรวม!L20+เงินสะสมรวม!K20+เงินทุนสำรองเงินสะสม!K20)</f>
        <v>0</v>
      </c>
      <c r="M20" s="157">
        <f>SUM(แผนงานรวม!M20+เงินสะสมรวม!L20+เงินทุนสำรองเงินสะสม!L20)</f>
        <v>0</v>
      </c>
      <c r="N20" s="157">
        <f>SUM(แผนงานรวม!N20+เงินสะสมรวม!M20+เงินทุนสำรองเงินสะสม!M20)</f>
        <v>0</v>
      </c>
      <c r="O20" s="157">
        <f>SUM(แผนงานรวม!O20+เงินสะสมรวม!N20+เงินทุนสำรองเงินสะสม!N20)</f>
        <v>0</v>
      </c>
    </row>
    <row r="21" spans="1:15" x14ac:dyDescent="0.55000000000000004">
      <c r="A21" s="10" t="s">
        <v>29</v>
      </c>
      <c r="B21" s="157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3994500</v>
      </c>
      <c r="C21" s="73">
        <f t="shared" si="0"/>
        <v>2996631.77</v>
      </c>
      <c r="D21" s="157">
        <f>SUM(แผนงานรวม!D21+เงินสะสมรวม!C21+เงินทุนสำรองเงินสะสม!C21)</f>
        <v>25000</v>
      </c>
      <c r="E21" s="157">
        <f>SUM(แผนงานรวม!E21+เงินสะสมรวม!D21+เงินทุนสำรองเงินสะสม!D21)</f>
        <v>0</v>
      </c>
      <c r="F21" s="157">
        <f>SUM(แผนงานรวม!F21+เงินสะสมรวม!E21+เงินทุนสำรองเงินสะสม!E21)</f>
        <v>2362000</v>
      </c>
      <c r="G21" s="157">
        <f>SUM(แผนงานรวม!G21+เงินสะสมรวม!F21+เงินทุนสำรองเงินสะสม!F21)</f>
        <v>52500</v>
      </c>
      <c r="H21" s="157">
        <f>SUM(แผนงานรวม!H21+เงินสะสมรวม!G21+เงินทุนสำรองเงินสะสม!G21)</f>
        <v>0</v>
      </c>
      <c r="I21" s="157">
        <f>SUM(แผนงานรวม!I21+เงินสะสมรวม!H21+เงินทุนสำรองเงินสะสม!H21)</f>
        <v>482131.77</v>
      </c>
      <c r="J21" s="157">
        <f>SUM(แผนงานรวม!J21+เงินสะสมรวม!I21+เงินทุนสำรองเงินสะสม!I21)</f>
        <v>0</v>
      </c>
      <c r="K21" s="157">
        <f>SUM(แผนงานรวม!K21+เงินสะสมรวม!J21+เงินทุนสำรองเงินสะสม!J21)</f>
        <v>75000</v>
      </c>
      <c r="L21" s="157">
        <f>SUM(แผนงานรวม!L21+เงินสะสมรวม!K21+เงินทุนสำรองเงินสะสม!K21)</f>
        <v>0</v>
      </c>
      <c r="M21" s="157">
        <f>SUM(แผนงานรวม!M21+เงินสะสมรวม!L21+เงินทุนสำรองเงินสะสม!L21)</f>
        <v>0</v>
      </c>
      <c r="N21" s="157">
        <f>SUM(แผนงานรวม!N21+เงินสะสมรวม!M21+เงินทุนสำรองเงินสะสม!M21)</f>
        <v>0</v>
      </c>
      <c r="O21" s="157">
        <f>SUM(แผนงานรวม!O21+เงินสะสมรวม!N21+เงินทุนสำรองเงินสะสม!N21)</f>
        <v>0</v>
      </c>
    </row>
    <row r="22" spans="1:15" x14ac:dyDescent="0.55000000000000004">
      <c r="A22" s="147" t="s">
        <v>23</v>
      </c>
      <c r="B22" s="157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3429000</v>
      </c>
      <c r="C22" s="73">
        <f t="shared" si="0"/>
        <v>3150598.66</v>
      </c>
      <c r="D22" s="157">
        <f>SUM(แผนงานรวม!D22+เงินสะสมรวม!C22+เงินทุนสำรองเงินสะสม!C22)</f>
        <v>0</v>
      </c>
      <c r="E22" s="157">
        <f>SUM(แผนงานรวม!E22+เงินสะสมรวม!D22+เงินทุนสำรองเงินสะสม!D22)</f>
        <v>0</v>
      </c>
      <c r="F22" s="157">
        <f>SUM(แผนงานรวม!F22+เงินสะสมรวม!E22+เงินทุนสำรองเงินสะสม!E22)</f>
        <v>0</v>
      </c>
      <c r="G22" s="157">
        <f>SUM(แผนงานรวม!G22+เงินสะสมรวม!F22+เงินทุนสำรองเงินสะสม!F22)</f>
        <v>0</v>
      </c>
      <c r="H22" s="157">
        <f>SUM(แผนงานรวม!H22+เงินสะสมรวม!G22+เงินทุนสำรองเงินสะสม!G22)</f>
        <v>0</v>
      </c>
      <c r="I22" s="157">
        <f>SUM(แผนงานรวม!I22+เงินสะสมรวม!H22+เงินทุนสำรองเงินสะสม!H22)</f>
        <v>0</v>
      </c>
      <c r="J22" s="157">
        <f>SUM(แผนงานรวม!J22+เงินสะสมรวม!I22+เงินทุนสำรองเงินสะสม!I22)</f>
        <v>0</v>
      </c>
      <c r="K22" s="157">
        <f>SUM(แผนงานรวม!K22+เงินสะสมรวม!J22+เงินทุนสำรองเงินสะสม!J22)</f>
        <v>0</v>
      </c>
      <c r="L22" s="157">
        <f>SUM(แผนงานรวม!L22+เงินสะสมรวม!K22+เงินทุนสำรองเงินสะสม!K22)</f>
        <v>0</v>
      </c>
      <c r="M22" s="157">
        <f>SUM(แผนงานรวม!M22+เงินสะสมรวม!L22+เงินทุนสำรองเงินสะสม!L22)</f>
        <v>0</v>
      </c>
      <c r="N22" s="157">
        <f>SUM(แผนงานรวม!N22+เงินสะสมรวม!M22+เงินทุนสำรองเงินสะสม!M22)</f>
        <v>0</v>
      </c>
      <c r="O22" s="157">
        <f>SUM(แผนงานรวม!O22+เงินสะสมรวม!N22+เงินทุนสำรองเงินสะสม!N22)</f>
        <v>3150598.66</v>
      </c>
    </row>
    <row r="23" spans="1:15" x14ac:dyDescent="0.55000000000000004">
      <c r="A23" s="147" t="s">
        <v>23</v>
      </c>
      <c r="B23" s="157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73">
        <f t="shared" si="0"/>
        <v>5098100</v>
      </c>
      <c r="D23" s="157">
        <f>SUM(แผนงานรวม!D23+เงินสะสมรวม!C23+เงินทุนสำรองเงินสะสม!C23)</f>
        <v>0</v>
      </c>
      <c r="E23" s="157">
        <f>SUM(แผนงานรวม!E23+เงินสะสมรวม!D23+เงินทุนสำรองเงินสะสม!D23)</f>
        <v>0</v>
      </c>
      <c r="F23" s="157">
        <f>SUM(แผนงานรวม!F23+เงินสะสมรวม!E23+เงินทุนสำรองเงินสะสม!E23)</f>
        <v>0</v>
      </c>
      <c r="G23" s="157">
        <f>SUM(แผนงานรวม!G23+เงินสะสมรวม!F23+เงินทุนสำรองเงินสะสม!F23)</f>
        <v>0</v>
      </c>
      <c r="H23" s="157">
        <f>SUM(แผนงานรวม!H23+เงินสะสมรวม!G23+เงินทุนสำรองเงินสะสม!G23)</f>
        <v>0</v>
      </c>
      <c r="I23" s="157">
        <f>SUM(แผนงานรวม!I23+เงินสะสมรวม!H23+เงินทุนสำรองเงินสะสม!H23)</f>
        <v>0</v>
      </c>
      <c r="J23" s="157">
        <f>SUM(แผนงานรวม!J23+เงินสะสมรวม!I23+เงินทุนสำรองเงินสะสม!I23)</f>
        <v>0</v>
      </c>
      <c r="K23" s="157">
        <f>SUM(แผนงานรวม!K23+เงินสะสมรวม!J23+เงินทุนสำรองเงินสะสม!J23)</f>
        <v>0</v>
      </c>
      <c r="L23" s="157">
        <f>SUM(แผนงานรวม!L23+เงินสะสมรวม!K23+เงินทุนสำรองเงินสะสม!K23)</f>
        <v>0</v>
      </c>
      <c r="M23" s="157">
        <f>SUM(แผนงานรวม!M23+เงินสะสมรวม!L23+เงินทุนสำรองเงินสะสม!L23)</f>
        <v>0</v>
      </c>
      <c r="N23" s="157">
        <f>SUM(แผนงานรวม!N23+เงินสะสมรวม!M23+เงินทุนสำรองเงินสะสม!M23)</f>
        <v>0</v>
      </c>
      <c r="O23" s="157">
        <f>SUM(แผนงานรวม!O23+เงินสะสมรวม!N23+เงินทุนสำรองเงินสะสม!N23)</f>
        <v>5098100</v>
      </c>
    </row>
    <row r="24" spans="1:15" x14ac:dyDescent="0.55000000000000004">
      <c r="A24" s="148"/>
      <c r="B24" s="148"/>
      <c r="C24" s="73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73"/>
    </row>
    <row r="25" spans="1:15" x14ac:dyDescent="0.55000000000000004">
      <c r="A25" s="124"/>
      <c r="B25" s="164">
        <f t="shared" ref="B25:O25" si="1">SUM(B10:B24)</f>
        <v>48398460</v>
      </c>
      <c r="C25" s="155">
        <f t="shared" si="1"/>
        <v>58093447.460000008</v>
      </c>
      <c r="D25" s="156">
        <f t="shared" si="1"/>
        <v>13776899.24</v>
      </c>
      <c r="E25" s="156">
        <f t="shared" si="1"/>
        <v>2420370.41</v>
      </c>
      <c r="F25" s="156">
        <f t="shared" si="1"/>
        <v>8737327.0600000005</v>
      </c>
      <c r="G25" s="156">
        <f t="shared" si="1"/>
        <v>1408491.53</v>
      </c>
      <c r="H25" s="156">
        <f t="shared" si="1"/>
        <v>1390002</v>
      </c>
      <c r="I25" s="156">
        <f t="shared" si="1"/>
        <v>20369497.859999999</v>
      </c>
      <c r="J25" s="156">
        <f t="shared" si="1"/>
        <v>1088872</v>
      </c>
      <c r="K25" s="156">
        <f t="shared" si="1"/>
        <v>653288.69999999995</v>
      </c>
      <c r="L25" s="156">
        <f t="shared" si="1"/>
        <v>0</v>
      </c>
      <c r="M25" s="156">
        <f t="shared" si="1"/>
        <v>0</v>
      </c>
      <c r="N25" s="156">
        <f t="shared" si="1"/>
        <v>0</v>
      </c>
      <c r="O25" s="154">
        <f t="shared" si="1"/>
        <v>8248698.6600000001</v>
      </c>
    </row>
    <row r="26" spans="1:15" x14ac:dyDescent="0.55000000000000004">
      <c r="A26" s="163" t="s">
        <v>32</v>
      </c>
      <c r="B26" s="163"/>
      <c r="C26" s="16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0"/>
    </row>
    <row r="27" spans="1:15" x14ac:dyDescent="0.55000000000000004">
      <c r="A27" s="147" t="s">
        <v>297</v>
      </c>
      <c r="B27" s="165">
        <v>2080000</v>
      </c>
      <c r="C27" s="73">
        <v>2472903.25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72"/>
    </row>
    <row r="28" spans="1:15" x14ac:dyDescent="0.55000000000000004">
      <c r="A28" s="147" t="s">
        <v>298</v>
      </c>
      <c r="B28" s="165">
        <v>1817000</v>
      </c>
      <c r="C28" s="73">
        <v>2175584.6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72"/>
    </row>
    <row r="29" spans="1:15" x14ac:dyDescent="0.55000000000000004">
      <c r="A29" s="147" t="s">
        <v>305</v>
      </c>
      <c r="B29" s="165">
        <v>1000000</v>
      </c>
      <c r="C29" s="73">
        <v>706023.89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72"/>
    </row>
    <row r="30" spans="1:15" x14ac:dyDescent="0.55000000000000004">
      <c r="A30" s="147" t="s">
        <v>299</v>
      </c>
      <c r="B30" s="165">
        <v>0</v>
      </c>
      <c r="C30" s="73"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72"/>
    </row>
    <row r="31" spans="1:15" x14ac:dyDescent="0.55000000000000004">
      <c r="A31" s="147" t="s">
        <v>300</v>
      </c>
      <c r="B31" s="165">
        <v>200000</v>
      </c>
      <c r="C31" s="73">
        <v>149610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72"/>
    </row>
    <row r="32" spans="1:15" x14ac:dyDescent="0.55000000000000004">
      <c r="A32" s="147" t="s">
        <v>301</v>
      </c>
      <c r="B32" s="165">
        <v>3000</v>
      </c>
      <c r="C32" s="73">
        <v>5900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2"/>
    </row>
    <row r="33" spans="1:15" x14ac:dyDescent="0.55000000000000004">
      <c r="A33" s="147" t="s">
        <v>302</v>
      </c>
      <c r="B33" s="165">
        <v>28000000</v>
      </c>
      <c r="C33" s="73">
        <v>23153517.539999999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72"/>
    </row>
    <row r="34" spans="1:15" x14ac:dyDescent="0.55000000000000004">
      <c r="A34" s="147" t="s">
        <v>303</v>
      </c>
      <c r="B34" s="165">
        <v>15300000</v>
      </c>
      <c r="C34" s="73">
        <v>11862744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72"/>
    </row>
    <row r="35" spans="1:15" x14ac:dyDescent="0.55000000000000004">
      <c r="A35" s="147" t="s">
        <v>304</v>
      </c>
      <c r="B35" s="165"/>
      <c r="C35" s="73">
        <v>6856600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72"/>
    </row>
    <row r="36" spans="1:15" x14ac:dyDescent="0.55000000000000004">
      <c r="A36" s="162"/>
      <c r="B36" s="166">
        <f>SUM(B27:B35)</f>
        <v>48400000</v>
      </c>
      <c r="C36" s="155">
        <f>SUM(C27:C35)</f>
        <v>47382883.280000001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4"/>
    </row>
    <row r="37" spans="1:15" ht="24.75" thickBot="1" x14ac:dyDescent="0.6">
      <c r="A37" s="167" t="s">
        <v>306</v>
      </c>
      <c r="B37" s="77"/>
      <c r="C37" s="76">
        <f>SUM(C36-C25)</f>
        <v>-10710564.180000007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78"/>
    </row>
    <row r="38" spans="1:15" ht="24.75" thickTop="1" x14ac:dyDescent="0.55000000000000004">
      <c r="A38" s="77"/>
      <c r="B38" s="77"/>
      <c r="C38" s="7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78"/>
    </row>
    <row r="39" spans="1:15" x14ac:dyDescent="0.55000000000000004">
      <c r="A39" s="77"/>
      <c r="B39" s="77"/>
      <c r="C39" s="79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78"/>
    </row>
    <row r="40" spans="1:15" x14ac:dyDescent="0.55000000000000004">
      <c r="A40" s="77"/>
      <c r="B40" s="77"/>
      <c r="C40" s="7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78"/>
    </row>
    <row r="41" spans="1:15" x14ac:dyDescent="0.55000000000000004">
      <c r="A41" s="77"/>
      <c r="B41" s="77"/>
      <c r="C41" s="79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78"/>
    </row>
    <row r="42" spans="1:15" x14ac:dyDescent="0.55000000000000004">
      <c r="A42" s="77"/>
      <c r="B42" s="77"/>
      <c r="C42" s="7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78"/>
    </row>
    <row r="43" spans="1:15" x14ac:dyDescent="0.55000000000000004">
      <c r="A43" s="77"/>
      <c r="B43" s="77"/>
      <c r="C43" s="7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8"/>
    </row>
    <row r="44" spans="1:15" x14ac:dyDescent="0.55000000000000004">
      <c r="A44" s="77"/>
      <c r="B44" s="77"/>
      <c r="C44" s="7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8"/>
    </row>
    <row r="45" spans="1:15" x14ac:dyDescent="0.55000000000000004">
      <c r="A45" s="77"/>
      <c r="B45" s="77"/>
      <c r="C45" s="7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78"/>
    </row>
    <row r="46" spans="1:15" x14ac:dyDescent="0.55000000000000004">
      <c r="A46" s="77"/>
      <c r="B46" s="77"/>
      <c r="C46" s="7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78"/>
    </row>
    <row r="47" spans="1:15" x14ac:dyDescent="0.55000000000000004">
      <c r="A47" s="77"/>
      <c r="B47" s="77"/>
      <c r="C47" s="79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78"/>
    </row>
  </sheetData>
  <mergeCells count="19">
    <mergeCell ref="G6:G8"/>
    <mergeCell ref="H6:H8"/>
    <mergeCell ref="I6:I8"/>
    <mergeCell ref="M6:M8"/>
    <mergeCell ref="N6:N8"/>
    <mergeCell ref="A1:O1"/>
    <mergeCell ref="A2:O2"/>
    <mergeCell ref="A3:O3"/>
    <mergeCell ref="O6:O8"/>
    <mergeCell ref="A4:A8"/>
    <mergeCell ref="B4:B8"/>
    <mergeCell ref="C4:C8"/>
    <mergeCell ref="D4:O5"/>
    <mergeCell ref="J6:J8"/>
    <mergeCell ref="K6:K8"/>
    <mergeCell ref="L6:L8"/>
    <mergeCell ref="D6:D8"/>
    <mergeCell ref="E6:E8"/>
    <mergeCell ref="F6:F8"/>
  </mergeCells>
  <printOptions horizontalCentered="1"/>
  <pageMargins left="7.874015748031496E-2" right="7.874015748031496E-2" top="0.62992125984251968" bottom="0.74803149606299213" header="0.31496062992125984" footer="0.31496062992125984"/>
  <pageSetup paperSize="9" scale="60" orientation="landscape" horizontalDpi="120" verticalDpi="18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1"/>
  <sheetViews>
    <sheetView workbookViewId="0">
      <selection activeCell="D38" sqref="D38"/>
    </sheetView>
  </sheetViews>
  <sheetFormatPr defaultColWidth="13" defaultRowHeight="24" x14ac:dyDescent="0.55000000000000004"/>
  <cols>
    <col min="1" max="2" width="19.85546875" style="17" customWidth="1"/>
    <col min="3" max="4" width="15.7109375" style="17" bestFit="1" customWidth="1"/>
    <col min="5" max="5" width="17.140625" style="17" customWidth="1"/>
    <col min="6" max="8" width="14.5703125" style="17" bestFit="1" customWidth="1"/>
    <col min="9" max="9" width="15.7109375" style="17" bestFit="1" customWidth="1"/>
    <col min="10" max="10" width="15.5703125" style="17" customWidth="1"/>
    <col min="11" max="11" width="15.85546875" style="17" customWidth="1"/>
    <col min="12" max="12" width="14.42578125" style="17" customWidth="1"/>
    <col min="13" max="13" width="9.28515625" style="17" bestFit="1" customWidth="1"/>
    <col min="14" max="14" width="10.7109375" style="17" bestFit="1" customWidth="1"/>
    <col min="15" max="15" width="14.5703125" style="17" bestFit="1" customWidth="1"/>
    <col min="16" max="16" width="15.7109375" style="17" customWidth="1"/>
    <col min="17" max="17" width="13" style="17" customWidth="1"/>
    <col min="18" max="18" width="13.28515625" style="17" customWidth="1"/>
    <col min="19" max="19" width="12" style="17" customWidth="1"/>
    <col min="20" max="21" width="14.28515625" style="17" customWidth="1"/>
    <col min="22" max="22" width="15.85546875" style="17" customWidth="1"/>
    <col min="23" max="23" width="13" style="17" customWidth="1"/>
    <col min="24" max="24" width="15.28515625" style="17" customWidth="1"/>
    <col min="25" max="25" width="13.7109375" style="17" customWidth="1"/>
    <col min="26" max="26" width="12.42578125" style="17" customWidth="1"/>
    <col min="27" max="27" width="11.85546875" style="17" customWidth="1"/>
    <col min="28" max="28" width="14.28515625" style="17" customWidth="1"/>
    <col min="29" max="16384" width="13" style="17"/>
  </cols>
  <sheetData>
    <row r="1" spans="1:27" x14ac:dyDescent="0.55000000000000004">
      <c r="A1" s="259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55000000000000004">
      <c r="A2" s="259" t="s">
        <v>310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55000000000000004">
      <c r="A3" s="260" t="str">
        <f>งานบริหาร!A3</f>
        <v>ตั้งแต่วันที่ 1 ตุลาคม 2558 ถึงวันที่ 30 กันยายน 2559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21" customHeight="1" x14ac:dyDescent="0.55000000000000004">
      <c r="A4" s="286" t="s">
        <v>21</v>
      </c>
      <c r="B4" s="286" t="s">
        <v>22</v>
      </c>
      <c r="C4" s="286" t="s">
        <v>9</v>
      </c>
      <c r="D4" s="293" t="s">
        <v>229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84"/>
    </row>
    <row r="5" spans="1:27" x14ac:dyDescent="0.55000000000000004">
      <c r="A5" s="291"/>
      <c r="B5" s="291"/>
      <c r="C5" s="291"/>
      <c r="D5" s="295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2"/>
    </row>
    <row r="6" spans="1:27" x14ac:dyDescent="0.55000000000000004">
      <c r="A6" s="291"/>
      <c r="B6" s="291"/>
      <c r="C6" s="291"/>
      <c r="D6" s="286" t="s">
        <v>93</v>
      </c>
      <c r="E6" s="290" t="s">
        <v>92</v>
      </c>
      <c r="F6" s="290" t="s">
        <v>83</v>
      </c>
      <c r="G6" s="290" t="s">
        <v>64</v>
      </c>
      <c r="H6" s="290" t="s">
        <v>74</v>
      </c>
      <c r="I6" s="290" t="s">
        <v>91</v>
      </c>
      <c r="J6" s="290" t="s">
        <v>350</v>
      </c>
      <c r="K6" s="290" t="s">
        <v>289</v>
      </c>
      <c r="L6" s="290" t="s">
        <v>290</v>
      </c>
      <c r="M6" s="290" t="s">
        <v>291</v>
      </c>
      <c r="N6" s="290" t="s">
        <v>31</v>
      </c>
      <c r="O6" s="290" t="s">
        <v>23</v>
      </c>
    </row>
    <row r="7" spans="1:27" ht="21" customHeight="1" x14ac:dyDescent="0.55000000000000004">
      <c r="A7" s="291"/>
      <c r="B7" s="291"/>
      <c r="C7" s="291"/>
      <c r="D7" s="291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7" ht="21" customHeight="1" x14ac:dyDescent="0.55000000000000004">
      <c r="A8" s="287"/>
      <c r="B8" s="287"/>
      <c r="C8" s="287"/>
      <c r="D8" s="287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7" x14ac:dyDescent="0.55000000000000004">
      <c r="A9" s="159" t="s">
        <v>24</v>
      </c>
      <c r="B9" s="15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27" x14ac:dyDescent="0.55000000000000004">
      <c r="A10" s="147" t="s">
        <v>144</v>
      </c>
      <c r="B10" s="157">
        <f>SUM(งานบริหาร!D7+รักษาความสงบ!D7+การศึกษา!D7+สาธารณสุข!D7+สังคมสงเคราะห์!D7+เคหะชุมชน!D7+เข้มแข็งของชุมชน!D7+ศาสนา!D7+อุตสาหกรรม!D7+การเกษตร!D7+การพาณิชย์!D7+งบกลาง!D7)</f>
        <v>2758000</v>
      </c>
      <c r="C10" s="73">
        <f>SUM(D10:O10)</f>
        <v>2848320</v>
      </c>
      <c r="D10" s="157">
        <f>SUM(แผนงานรวม!D10+เงินสะสมรวม!C10+เงินทุนสำรองเงินสะสม!C10+เงินกู้!C10)</f>
        <v>2848320</v>
      </c>
      <c r="E10" s="157">
        <f>SUM(แผนงานรวม!E10+เงินสะสมรวม!D10+เงินทุนสำรองเงินสะสม!D10+เงินกู้!D10)</f>
        <v>0</v>
      </c>
      <c r="F10" s="157">
        <f>SUM(แผนงานรวม!F10+เงินสะสมรวม!E10+เงินทุนสำรองเงินสะสม!E10+เงินกู้!E10)</f>
        <v>0</v>
      </c>
      <c r="G10" s="157">
        <f>SUM(แผนงานรวม!G10+เงินสะสมรวม!F10+เงินทุนสำรองเงินสะสม!F10+เงินกู้!F10)</f>
        <v>0</v>
      </c>
      <c r="H10" s="157">
        <f>SUM(แผนงานรวม!H10+เงินสะสมรวม!G10+เงินทุนสำรองเงินสะสม!G10+เงินกู้!G10)</f>
        <v>0</v>
      </c>
      <c r="I10" s="157">
        <f>SUM(แผนงานรวม!I10+เงินสะสมรวม!H10+เงินทุนสำรองเงินสะสม!H10+เงินกู้!H10)</f>
        <v>0</v>
      </c>
      <c r="J10" s="157">
        <f>SUM(แผนงานรวม!J10+เงินสะสมรวม!I10+เงินทุนสำรองเงินสะสม!I10+เงินกู้!I10)</f>
        <v>0</v>
      </c>
      <c r="K10" s="157">
        <f>SUM(แผนงานรวม!K10+เงินสะสมรวม!J10+เงินทุนสำรองเงินสะสม!J10+เงินกู้!J10)</f>
        <v>0</v>
      </c>
      <c r="L10" s="157">
        <f>SUM(แผนงานรวม!L10+เงินสะสมรวม!K10+เงินทุนสำรองเงินสะสม!K10+เงินกู้!K10)</f>
        <v>0</v>
      </c>
      <c r="M10" s="157">
        <f>SUM(แผนงานรวม!M10+เงินสะสมรวม!L10+เงินทุนสำรองเงินสะสม!L10+เงินกู้!L10)</f>
        <v>0</v>
      </c>
      <c r="N10" s="157">
        <f>SUM(แผนงานรวม!N10+เงินสะสมรวม!M10+เงินทุนสำรองเงินสะสม!M10+เงินกู้!M10)</f>
        <v>0</v>
      </c>
      <c r="O10" s="157">
        <f>SUM(แผนงานรวม!O10+เงินสะสมรวม!N10+เงินทุนสำรองเงินสะสม!N10+เงินกู้!N10)</f>
        <v>0</v>
      </c>
      <c r="P10" s="67"/>
    </row>
    <row r="11" spans="1:27" x14ac:dyDescent="0.55000000000000004">
      <c r="A11" s="147" t="s">
        <v>145</v>
      </c>
      <c r="B11" s="157">
        <f>SUM(งานบริหาร!D8+รักษาความสงบ!D8+การศึกษา!D8+สาธารณสุข!D8+สังคมสงเคราะห์!D8+เคหะชุมชน!D8+เข้มแข็งของชุมชน!D8+ศาสนา!D8+อุตสาหกรรม!D8+การเกษตร!D8+การพาณิชย์!D8+งบกลาง!D8)</f>
        <v>13284400</v>
      </c>
      <c r="C11" s="73">
        <f t="shared" ref="C11:C23" si="0">SUM(D11:O11)</f>
        <v>12900589.07</v>
      </c>
      <c r="D11" s="157">
        <f>SUM(แผนงานรวม!D11+เงินสะสมรวม!C11+เงินทุนสำรองเงินสะสม!C11+เงินกู้!C11)</f>
        <v>5419890.2400000002</v>
      </c>
      <c r="E11" s="157">
        <f>SUM(แผนงานรวม!E11+เงินสะสมรวม!D11+เงินทุนสำรองเงินสะสม!D11+เงินกู้!D11)</f>
        <v>1311168.06</v>
      </c>
      <c r="F11" s="157">
        <f>SUM(แผนงานรวม!F11+เงินสะสมรวม!E11+เงินทุนสำรองเงินสะสม!E11+เงินกู้!E11)</f>
        <v>872560</v>
      </c>
      <c r="G11" s="157">
        <f>SUM(แผนงานรวม!G11+เงินสะสมรวม!F11+เงินทุนสำรองเงินสะสม!F11+เงินกู้!F11)</f>
        <v>863012</v>
      </c>
      <c r="H11" s="157">
        <f>SUM(แผนงานรวม!H11+เงินสะสมรวม!G11+เงินทุนสำรองเงินสะสม!G11+เงินกู้!G11)</f>
        <v>1140960</v>
      </c>
      <c r="I11" s="157">
        <f>SUM(แผนงานรวม!I11+เงินสะสมรวม!H11+เงินทุนสำรองเงินสะสม!H11+เงินกู้!H11)</f>
        <v>3292998.77</v>
      </c>
      <c r="J11" s="157">
        <f>SUM(แผนงานรวม!J11+เงินสะสมรวม!I11+เงินทุนสำรองเงินสะสม!I11+เงินกู้!I11)</f>
        <v>0</v>
      </c>
      <c r="K11" s="157">
        <f>SUM(แผนงานรวม!K11+เงินสะสมรวม!J11+เงินทุนสำรองเงินสะสม!J11+เงินกู้!J11)</f>
        <v>0</v>
      </c>
      <c r="L11" s="157">
        <f>SUM(แผนงานรวม!L11+เงินสะสมรวม!K11+เงินทุนสำรองเงินสะสม!K11+เงินกู้!K11)</f>
        <v>0</v>
      </c>
      <c r="M11" s="157">
        <f>SUM(แผนงานรวม!M11+เงินสะสมรวม!L11+เงินทุนสำรองเงินสะสม!L11+เงินกู้!L11)</f>
        <v>0</v>
      </c>
      <c r="N11" s="157">
        <f>SUM(แผนงานรวม!N11+เงินสะสมรวม!M11+เงินทุนสำรองเงินสะสม!M11+เงินกู้!M11)</f>
        <v>0</v>
      </c>
      <c r="O11" s="157">
        <f>SUM(แผนงานรวม!O11+เงินสะสมรวม!N11+เงินทุนสำรองเงินสะสม!N11+เงินกู้!N11)</f>
        <v>0</v>
      </c>
    </row>
    <row r="12" spans="1:27" x14ac:dyDescent="0.55000000000000004">
      <c r="A12" s="10" t="s">
        <v>25</v>
      </c>
      <c r="B12" s="157">
        <f>SUM(งานบริหาร!D9+รักษาความสงบ!D9+การศึกษา!D9+สาธารณสุข!D9+สังคมสงเคราะห์!D9+เคหะชุมชน!D9+เข้มแข็งของชุมชน!D9+ศาสนา!D9+อุตสาหกรรม!D9+การเกษตร!D9+การพาณิชย์!D9+งบกลาง!D9)</f>
        <v>1967600</v>
      </c>
      <c r="C12" s="73">
        <f t="shared" si="0"/>
        <v>1316504</v>
      </c>
      <c r="D12" s="157">
        <f>SUM(แผนงานรวม!D12+เงินสะสมรวม!C12+เงินทุนสำรองเงินสะสม!C12+เงินกู้!C12)</f>
        <v>912915</v>
      </c>
      <c r="E12" s="157">
        <f>SUM(แผนงานรวม!E12+เงินสะสมรวม!D12+เงินทุนสำรองเงินสะสม!D12+เงินกู้!D12)</f>
        <v>9000</v>
      </c>
      <c r="F12" s="157">
        <f>SUM(แผนงานรวม!F12+เงินสะสมรวม!E12+เงินทุนสำรองเงินสะสม!E12+เงินกู้!E12)</f>
        <v>40260</v>
      </c>
      <c r="G12" s="157">
        <f>SUM(แผนงานรวม!G12+เงินสะสมรวม!F12+เงินทุนสำรองเงินสะสม!F12+เงินกู้!F12)</f>
        <v>45850</v>
      </c>
      <c r="H12" s="157">
        <f>SUM(แผนงานรวม!H12+เงินสะสมรวม!G12+เงินทุนสำรองเงินสะสม!G12+เงินกู้!G12)</f>
        <v>72000</v>
      </c>
      <c r="I12" s="157">
        <f>SUM(แผนงานรวม!I12+เงินสะสมรวม!H12+เงินทุนสำรองเงินสะสม!H12+เงินกู้!H12)</f>
        <v>236479</v>
      </c>
      <c r="J12" s="157">
        <f>SUM(แผนงานรวม!J12+เงินสะสมรวม!I12+เงินทุนสำรองเงินสะสม!I12+เงินกู้!I12)</f>
        <v>0</v>
      </c>
      <c r="K12" s="157">
        <f>SUM(แผนงานรวม!K12+เงินสะสมรวม!J12+เงินทุนสำรองเงินสะสม!J12+เงินกู้!J12)</f>
        <v>0</v>
      </c>
      <c r="L12" s="157">
        <f>SUM(แผนงานรวม!L12+เงินสะสมรวม!K12+เงินทุนสำรองเงินสะสม!K12+เงินกู้!K12)</f>
        <v>0</v>
      </c>
      <c r="M12" s="157">
        <f>SUM(แผนงานรวม!M12+เงินสะสมรวม!L12+เงินทุนสำรองเงินสะสม!L12+เงินกู้!L12)</f>
        <v>0</v>
      </c>
      <c r="N12" s="157">
        <f>SUM(แผนงานรวม!N12+เงินสะสมรวม!M12+เงินทุนสำรองเงินสะสม!M12+เงินกู้!M12)</f>
        <v>0</v>
      </c>
      <c r="O12" s="157">
        <f>SUM(แผนงานรวม!O12+เงินสะสมรวม!N12+เงินทุนสำรองเงินสะสม!N12+เงินกู้!N12)</f>
        <v>0</v>
      </c>
    </row>
    <row r="13" spans="1:27" x14ac:dyDescent="0.55000000000000004">
      <c r="A13" s="151" t="s">
        <v>26</v>
      </c>
      <c r="B13" s="157">
        <f>SUM(งานบริหาร!D10+รักษาความสงบ!D10+การศึกษา!D10+สาธารณสุข!D10+สังคมสงเคราะห์!D10+เคหะชุมชน!D10+เข้มแข็งของชุมชน!D10+ศาสนา!D10+อุตสาหกรรม!D10+การเกษตร!D10+การพาณิชย์!D10+งบกลาง!D10)</f>
        <v>7940000</v>
      </c>
      <c r="C13" s="73">
        <f t="shared" si="0"/>
        <v>7171447.4800000004</v>
      </c>
      <c r="D13" s="157">
        <f>SUM(แผนงานรวม!D13+เงินสะสมรวม!C13+เงินทุนสำรองเงินสะสม!C13+เงินกู้!C13)</f>
        <v>1895010.1</v>
      </c>
      <c r="E13" s="157">
        <f>SUM(แผนงานรวม!E13+เงินสะสมรวม!D13+เงินทุนสำรองเงินสะสม!D13+เงินกู้!D13)</f>
        <v>272882.98</v>
      </c>
      <c r="F13" s="157">
        <f>SUM(แผนงานรวม!F13+เงินสะสมรวม!E13+เงินทุนสำรองเงินสะสม!E13+เงินกู้!E13)</f>
        <v>700130.5</v>
      </c>
      <c r="G13" s="157">
        <f>SUM(แผนงานรวม!G13+เงินสะสมรวม!F13+เงินทุนสำรองเงินสะสม!F13+เงินกู้!F13)</f>
        <v>323773</v>
      </c>
      <c r="H13" s="157">
        <f>SUM(แผนงานรวม!H13+เงินสะสมรวม!G13+เงินทุนสำรองเงินสะสม!G13+เงินกู้!G13)</f>
        <v>31380</v>
      </c>
      <c r="I13" s="157">
        <f>SUM(แผนงานรวม!I13+เงินสะสมรวม!H13+เงินทุนสำรองเงินสะสม!H13+เงินกู้!H13)</f>
        <v>2353610.2000000002</v>
      </c>
      <c r="J13" s="157">
        <f>SUM(แผนงานรวม!J13+เงินสะสมรวม!I13+เงินทุนสำรองเงินสะสม!I13+เงินกู้!I13)</f>
        <v>1076372</v>
      </c>
      <c r="K13" s="157">
        <f>SUM(แผนงานรวม!K13+เงินสะสมรวม!J13+เงินทุนสำรองเงินสะสม!J13+เงินกู้!J13)</f>
        <v>518288.69999999995</v>
      </c>
      <c r="L13" s="157">
        <f>SUM(แผนงานรวม!L13+เงินสะสมรวม!K13+เงินทุนสำรองเงินสะสม!K13+เงินกู้!K13)</f>
        <v>0</v>
      </c>
      <c r="M13" s="157">
        <f>SUM(แผนงานรวม!M13+เงินสะสมรวม!L13+เงินทุนสำรองเงินสะสม!L13+เงินกู้!L13)</f>
        <v>0</v>
      </c>
      <c r="N13" s="157">
        <f>SUM(แผนงานรวม!N13+เงินสะสมรวม!M13+เงินทุนสำรองเงินสะสม!M13+เงินกู้!M13)</f>
        <v>0</v>
      </c>
      <c r="O13" s="157">
        <f>SUM(แผนงานรวม!O13+เงินสะสมรวม!N13+เงินทุนสำรองเงินสะสม!N13+เงินกู้!N13)</f>
        <v>0</v>
      </c>
    </row>
    <row r="14" spans="1:27" x14ac:dyDescent="0.55000000000000004">
      <c r="A14" s="151" t="s">
        <v>26</v>
      </c>
      <c r="B14" s="157"/>
      <c r="C14" s="73">
        <f>SUM(D14:O14)</f>
        <v>52500</v>
      </c>
      <c r="D14" s="157">
        <f>SUM(แผนงานรวม!D14+เงินสะสมรวม!C14+เงินทุนสำรองเงินสะสม!C14+เงินกู้!C14)</f>
        <v>0</v>
      </c>
      <c r="E14" s="157">
        <f>SUM(แผนงานรวม!E14+เงินสะสมรวม!D14+เงินทุนสำรองเงินสะสม!D14+เงินกู้!D14)</f>
        <v>0</v>
      </c>
      <c r="F14" s="157">
        <f>SUM(แผนงานรวม!F14+เงินสะสมรวม!E14+เงินทุนสำรองเงินสะสม!E14+เงินกู้!E14)</f>
        <v>0</v>
      </c>
      <c r="G14" s="157">
        <f>SUM(แผนงานรวม!G14+เงินสะสมรวม!F14+เงินทุนสำรองเงินสะสม!F14+เงินกู้!F14)</f>
        <v>0</v>
      </c>
      <c r="H14" s="157">
        <f>SUM(แผนงานรวม!H14+เงินสะสมรวม!G14+เงินทุนสำรองเงินสะสม!G14+เงินกู้!G14)</f>
        <v>40000</v>
      </c>
      <c r="I14" s="157">
        <f>SUM(แผนงานรวม!I14+เงินสะสมรวม!H14+เงินทุนสำรองเงินสะสม!H14+เงินกู้!H14)</f>
        <v>0</v>
      </c>
      <c r="J14" s="157">
        <f>SUM(แผนงานรวม!J14+เงินสะสมรวม!I14+เงินทุนสำรองเงินสะสม!I14+เงินกู้!I14)</f>
        <v>12500</v>
      </c>
      <c r="K14" s="157">
        <f>SUM(แผนงานรวม!K14+เงินสะสมรวม!J14+เงินทุนสำรองเงินสะสม!J14+เงินกู้!J14)</f>
        <v>0</v>
      </c>
      <c r="L14" s="157">
        <f>SUM(แผนงานรวม!L14+เงินสะสมรวม!K14+เงินทุนสำรองเงินสะสม!K14+เงินกู้!K14)</f>
        <v>0</v>
      </c>
      <c r="M14" s="157">
        <f>SUM(แผนงานรวม!M14+เงินสะสมรวม!L14+เงินทุนสำรองเงินสะสม!L14+เงินกู้!L14)</f>
        <v>0</v>
      </c>
      <c r="N14" s="157">
        <f>SUM(แผนงานรวม!N14+เงินสะสมรวม!M14+เงินทุนสำรองเงินสะสม!M14+เงินกู้!M14)</f>
        <v>0</v>
      </c>
      <c r="O14" s="157">
        <f>SUM(แผนงานรวม!O14+เงินสะสมรวม!N14+เงินทุนสำรองเงินสะสม!N14+เงินกู้!N14)</f>
        <v>0</v>
      </c>
    </row>
    <row r="15" spans="1:27" x14ac:dyDescent="0.55000000000000004">
      <c r="A15" s="147" t="s">
        <v>27</v>
      </c>
      <c r="B15" s="157">
        <f>SUM(งานบริหาร!D12+รักษาความสงบ!D12+การศึกษา!D12+สาธารณสุข!D12+สังคมสงเคราะห์!D12+เคหะชุมชน!D12+เข้มแข็งของชุมชน!D12+ศาสนา!D12+อุตสาหกรรม!D12+การเกษตร!D12+การพาณิชย์!D12+งบกลาง!D12)</f>
        <v>4904560</v>
      </c>
      <c r="C15" s="73">
        <f t="shared" si="0"/>
        <v>4203810.17</v>
      </c>
      <c r="D15" s="157">
        <f>SUM(แผนงานรวม!D15+เงินสะสมรวม!C15+เงินทุนสำรองเงินสะสม!C15+เงินกู้!C15)</f>
        <v>812882.22</v>
      </c>
      <c r="E15" s="157">
        <f>SUM(แผนงานรวม!E15+เงินสะสมรวม!D15+เงินทุนสำรองเงินสะสม!D15+เงินกู้!D15)</f>
        <v>299319.37</v>
      </c>
      <c r="F15" s="157">
        <f>SUM(แผนงานรวม!F15+เงินสะสมรวม!E15+เงินทุนสำรองเงินสะสม!E15+เงินกู้!E15)</f>
        <v>1718256.56</v>
      </c>
      <c r="G15" s="157">
        <f>SUM(แผนงานรวม!G15+เงินสะสมรวม!F15+เงินทุนสำรองเงินสะสม!F15+เงินกู้!F15)</f>
        <v>45090</v>
      </c>
      <c r="H15" s="157">
        <f>SUM(แผนงานรวม!H15+เงินสะสมรวม!G15+เงินทุนสำรองเงินสะสม!G15+เงินกู้!G15)</f>
        <v>66924</v>
      </c>
      <c r="I15" s="157">
        <f>SUM(แผนงานรวม!I15+เงินสะสมรวม!H15+เงินทุนสำรองเงินสะสม!H15+เงินกู้!H15)</f>
        <v>1201338.02</v>
      </c>
      <c r="J15" s="157">
        <f>SUM(แผนงานรวม!J15+เงินสะสมรวม!I15+เงินทุนสำรองเงินสะสม!I15+เงินกู้!I15)</f>
        <v>0</v>
      </c>
      <c r="K15" s="157">
        <f>SUM(แผนงานรวม!K15+เงินสะสมรวม!J15+เงินทุนสำรองเงินสะสม!J15+เงินกู้!J15)</f>
        <v>60000</v>
      </c>
      <c r="L15" s="157">
        <f>SUM(แผนงานรวม!L15+เงินสะสมรวม!K15+เงินทุนสำรองเงินสะสม!K15+เงินกู้!K15)</f>
        <v>0</v>
      </c>
      <c r="M15" s="157">
        <f>SUM(แผนงานรวม!M15+เงินสะสมรวม!L15+เงินทุนสำรองเงินสะสม!L15+เงินกู้!L15)</f>
        <v>0</v>
      </c>
      <c r="N15" s="157">
        <f>SUM(แผนงานรวม!N15+เงินสะสมรวม!M15+เงินทุนสำรองเงินสะสม!M15+เงินกู้!M15)</f>
        <v>0</v>
      </c>
      <c r="O15" s="157">
        <f>SUM(แผนงานรวม!O15+เงินสะสมรวม!N15+เงินทุนสำรองเงินสะสม!N15+เงินกู้!N15)</f>
        <v>0</v>
      </c>
      <c r="P15" s="67"/>
    </row>
    <row r="16" spans="1:27" x14ac:dyDescent="0.55000000000000004">
      <c r="A16" s="147" t="s">
        <v>28</v>
      </c>
      <c r="B16" s="157">
        <f>SUM(งานบริหาร!D13+รักษาความสงบ!D13+การศึกษา!D13+สาธารณสุข!D13+สังคมสงเคราะห์!D13+เคหะชุมชน!D13+เข้มแข็งของชุมชน!D13+ศาสนา!D13+อุตสาหกรรม!D13+การเกษตร!D13+การพาณิชย์!D13+งบกลาง!D13)</f>
        <v>1076500</v>
      </c>
      <c r="C16" s="73">
        <f t="shared" si="0"/>
        <v>858136.31</v>
      </c>
      <c r="D16" s="157">
        <f>SUM(แผนงานรวม!D16+เงินสะสมรวม!C16+เงินทุนสำรองเงินสะสม!C16+เงินกู้!C16)</f>
        <v>820551.68000000005</v>
      </c>
      <c r="E16" s="157">
        <f>SUM(แผนงานรวม!E16+เงินสะสมรวม!D16+เงินทุนสำรองเงินสะสม!D16+เงินกู้!D16)</f>
        <v>0</v>
      </c>
      <c r="F16" s="157">
        <f>SUM(แผนงานรวม!F16+เงินสะสมรวม!E16+เงินทุนสำรองเงินสะสม!E16+เงินกู้!E16)</f>
        <v>0</v>
      </c>
      <c r="G16" s="157">
        <f>SUM(แผนงานรวม!G16+เงินสะสมรวม!F16+เงินทุนสำรองเงินสะสม!F16+เงินกู้!F16)</f>
        <v>1476.53</v>
      </c>
      <c r="H16" s="157">
        <f>SUM(แผนงานรวม!H16+เงินสะสมรวม!G16+เงินทุนสำรองเงินสะสม!G16+เงินกู้!G16)</f>
        <v>838</v>
      </c>
      <c r="I16" s="157">
        <f>SUM(แผนงานรวม!I16+เงินสะสมรวม!H16+เงินทุนสำรองเงินสะสม!H16+เงินกู้!H16)</f>
        <v>35270.1</v>
      </c>
      <c r="J16" s="157">
        <f>SUM(แผนงานรวม!J16+เงินสะสมรวม!I16+เงินทุนสำรองเงินสะสม!I16+เงินกู้!I16)</f>
        <v>0</v>
      </c>
      <c r="K16" s="157">
        <f>SUM(แผนงานรวม!K16+เงินสะสมรวม!J16+เงินทุนสำรองเงินสะสม!J16+เงินกู้!J16)</f>
        <v>0</v>
      </c>
      <c r="L16" s="157">
        <f>SUM(แผนงานรวม!L16+เงินสะสมรวม!K16+เงินทุนสำรองเงินสะสม!K16+เงินกู้!K16)</f>
        <v>0</v>
      </c>
      <c r="M16" s="157">
        <f>SUM(แผนงานรวม!M16+เงินสะสมรวม!L16+เงินทุนสำรองเงินสะสม!L16+เงินกู้!L16)</f>
        <v>0</v>
      </c>
      <c r="N16" s="157">
        <f>SUM(แผนงานรวม!N16+เงินสะสมรวม!M16+เงินทุนสำรองเงินสะสม!M16+เงินกู้!M16)</f>
        <v>0</v>
      </c>
      <c r="O16" s="157">
        <f>SUM(แผนงานรวม!O16+เงินสะสมรวม!N16+เงินทุนสำรองเงินสะสม!N16+เงินกู้!N16)</f>
        <v>0</v>
      </c>
    </row>
    <row r="17" spans="1:15" x14ac:dyDescent="0.55000000000000004">
      <c r="A17" s="147" t="s">
        <v>349</v>
      </c>
      <c r="B17" s="157">
        <f>SUM(งานบริหาร!D14+รักษาความสงบ!D14+การศึกษา!D14+สาธารณสุข!D14+สังคมสงเคราะห์!D14+เคหะชุมชน!D14+เข้มแข็งของชุมชน!D14+ศาสนา!D14+อุตสาหกรรม!D14+การเกษตร!D14+การพาณิชย์!D14+งบกลาง!D14)</f>
        <v>2256900</v>
      </c>
      <c r="C17" s="73">
        <f t="shared" si="0"/>
        <v>2003840</v>
      </c>
      <c r="D17" s="157">
        <f>SUM(แผนงานรวม!D17+เงินสะสมรวม!C17+เงินทุนสำรองเงินสะสม!C17+เงินกู้!C17)</f>
        <v>775630</v>
      </c>
      <c r="E17" s="157">
        <f>SUM(แผนงานรวม!E17+เงินสะสมรวม!D17+เงินทุนสำรองเงินสะสม!D17+เงินกู้!D17)</f>
        <v>528000</v>
      </c>
      <c r="F17" s="157">
        <f>SUM(แผนงานรวม!F17+เงินสะสมรวม!E17+เงินทุนสำรองเงินสะสม!E17+เงินกู้!E17)</f>
        <v>251120</v>
      </c>
      <c r="G17" s="157">
        <f>SUM(แผนงานรวม!G17+เงินสะสมรวม!F17+เงินทุนสำรองเงินสะสม!F17+เงินกู้!F17)</f>
        <v>76790</v>
      </c>
      <c r="H17" s="157">
        <f>SUM(แผนงานรวม!H17+เงินสะสมรวม!G17+เงินทุนสำรองเงินสะสม!G17+เงินกู้!G17)</f>
        <v>37900</v>
      </c>
      <c r="I17" s="157">
        <f>SUM(แผนงานรวม!I17+เงินสะสมรวม!H17+เงินทุนสำรองเงินสะสม!H17+เงินกู้!H17)</f>
        <v>334400</v>
      </c>
      <c r="J17" s="157">
        <f>SUM(แผนงานรวม!J17+เงินสะสมรวม!I17+เงินทุนสำรองเงินสะสม!I17+เงินกู้!I17)</f>
        <v>0</v>
      </c>
      <c r="K17" s="157">
        <f>SUM(แผนงานรวม!K17+เงินสะสมรวม!J17+เงินทุนสำรองเงินสะสม!J17+เงินกู้!J17)</f>
        <v>0</v>
      </c>
      <c r="L17" s="157">
        <f>SUM(แผนงานรวม!L17+เงินสะสมรวม!K17+เงินทุนสำรองเงินสะสม!K17+เงินกู้!K17)</f>
        <v>0</v>
      </c>
      <c r="M17" s="157">
        <f>SUM(แผนงานรวม!M17+เงินสะสมรวม!L17+เงินทุนสำรองเงินสะสม!L17+เงินกู้!L17)</f>
        <v>0</v>
      </c>
      <c r="N17" s="157">
        <f>SUM(แผนงานรวม!N17+เงินสะสมรวม!M17+เงินทุนสำรองเงินสะสม!M17+เงินกู้!M17)</f>
        <v>0</v>
      </c>
      <c r="O17" s="157">
        <f>SUM(แผนงานรวม!O17+เงินสะสมรวม!N17+เงินทุนสำรองเงินสะสม!N17+เงินกู้!N17)</f>
        <v>0</v>
      </c>
    </row>
    <row r="18" spans="1:15" x14ac:dyDescent="0.55000000000000004">
      <c r="A18" s="147" t="s">
        <v>52</v>
      </c>
      <c r="B18" s="157">
        <f>SUM(งานบริหาร!D15+รักษาความสงบ!D15+การศึกษา!D15+สาธารณสุข!D15+สังคมสงเคราะห์!D15+เคหะชุมชน!D15+เข้มแข็งของชุมชน!D15+ศาสนา!D15+อุตสาหกรรม!D15+การเกษตร!D15+การพาณิชย์!D15+งบกลาง!D15)</f>
        <v>6787000</v>
      </c>
      <c r="C18" s="73">
        <f t="shared" si="0"/>
        <v>13786970</v>
      </c>
      <c r="D18" s="157">
        <f>SUM(แผนงานรวม!D18+เงินสะสมรวม!C18+เงินทุนสำรองเงินสะสม!C18+เงินกู้!C18)</f>
        <v>266700</v>
      </c>
      <c r="E18" s="157">
        <f>SUM(แผนงานรวม!E18+เงินสะสมรวม!D18+เงินทุนสำรองเงินสะสม!D18+เงินกู้!D18)</f>
        <v>0</v>
      </c>
      <c r="F18" s="157">
        <f>SUM(แผนงานรวม!F18+เงินสะสมรวม!E18+เงินทุนสำรองเงินสะสม!E18+เงินกู้!E18)</f>
        <v>2793000</v>
      </c>
      <c r="G18" s="157">
        <f>SUM(แผนงานรวม!G18+เงินสะสมรวม!F18+เงินทุนสำรองเงินสะสม!F18+เงินกู้!F18)</f>
        <v>0</v>
      </c>
      <c r="H18" s="157">
        <f>SUM(แผนงานรวม!H18+เงินสะสมรวม!G18+เงินทุนสำรองเงินสะสม!G18+เงินกู้!G18)</f>
        <v>0</v>
      </c>
      <c r="I18" s="157">
        <f>SUM(แผนงานรวม!I18+เงินสะสมรวม!H18+เงินทุนสำรองเงินสะสม!H18+เงินกู้!H18)</f>
        <v>10727270</v>
      </c>
      <c r="J18" s="157">
        <f>SUM(แผนงานรวม!J18+เงินสะสมรวม!I18+เงินทุนสำรองเงินสะสม!I18+เงินกู้!I18)</f>
        <v>0</v>
      </c>
      <c r="K18" s="157">
        <f>SUM(แผนงานรวม!K18+เงินสะสมรวม!J18+เงินทุนสำรองเงินสะสม!J18+เงินกู้!J18)</f>
        <v>0</v>
      </c>
      <c r="L18" s="157">
        <f>SUM(แผนงานรวม!L18+เงินสะสมรวม!K18+เงินทุนสำรองเงินสะสม!K18+เงินกู้!K18)</f>
        <v>0</v>
      </c>
      <c r="M18" s="157">
        <f>SUM(แผนงานรวม!M18+เงินสะสมรวม!L18+เงินทุนสำรองเงินสะสม!L18+เงินกู้!L18)</f>
        <v>0</v>
      </c>
      <c r="N18" s="157">
        <f>SUM(แผนงานรวม!N18+เงินสะสมรวม!M18+เงินทุนสำรองเงินสะสม!M18+เงินกู้!M18)</f>
        <v>0</v>
      </c>
      <c r="O18" s="157">
        <f>SUM(แผนงานรวม!O18+เงินสะสมรวม!N18+เงินทุนสำรองเงินสะสม!N18+เงินกู้!N18)</f>
        <v>0</v>
      </c>
    </row>
    <row r="19" spans="1:15" x14ac:dyDescent="0.55000000000000004">
      <c r="A19" s="147" t="s">
        <v>52</v>
      </c>
      <c r="B19" s="157">
        <f>SUM(งานบริหาร!D16+รักษาความสงบ!D16+การศึกษา!D16+สาธารณสุข!D16+สังคมสงเคราะห์!D16+เคหะชุมชน!D16+เข้มแข็งของชุมชน!D16+ศาสนา!D16+อุตสาหกรรม!D16+การเกษตร!D16+การพาณิชย์!D16+งบกลาง!D16)</f>
        <v>0</v>
      </c>
      <c r="C19" s="73">
        <f t="shared" si="0"/>
        <v>1706000</v>
      </c>
      <c r="D19" s="157">
        <f>SUM(แผนงานรวม!D19+เงินสะสมรวม!C19+เงินทุนสำรองเงินสะสม!C19+เงินกู้!C19)</f>
        <v>0</v>
      </c>
      <c r="E19" s="157">
        <f>SUM(แผนงานรวม!E19+เงินสะสมรวม!D19+เงินทุนสำรองเงินสะสม!D19+เงินกู้!D19)</f>
        <v>0</v>
      </c>
      <c r="F19" s="157">
        <f>SUM(แผนงานรวม!F19+เงินสะสมรวม!E19+เงินทุนสำรองเงินสะสม!E19+เงินกู้!E19)</f>
        <v>0</v>
      </c>
      <c r="G19" s="157">
        <f>SUM(แผนงานรวม!G19+เงินสะสมรวม!F19+เงินทุนสำรองเงินสะสม!F19+เงินกู้!F19)</f>
        <v>0</v>
      </c>
      <c r="H19" s="157">
        <f>SUM(แผนงานรวม!H19+เงินสะสมรวม!G19+เงินทุนสำรองเงินสะสม!G19+เงินกู้!G19)</f>
        <v>0</v>
      </c>
      <c r="I19" s="157">
        <f>SUM(แผนงานรวม!I19+เงินสะสมรวม!H19+เงินทุนสำรองเงินสะสม!H19+เงินกู้!H19)</f>
        <v>1706000</v>
      </c>
      <c r="J19" s="157">
        <f>SUM(แผนงานรวม!J19+เงินสะสมรวม!I19+เงินทุนสำรองเงินสะสม!I19+เงินกู้!I19)</f>
        <v>0</v>
      </c>
      <c r="K19" s="157">
        <f>SUM(แผนงานรวม!K19+เงินสะสมรวม!J19+เงินทุนสำรองเงินสะสม!J19+เงินกู้!J19)</f>
        <v>0</v>
      </c>
      <c r="L19" s="157">
        <f>SUM(แผนงานรวม!L19+เงินสะสมรวม!K19+เงินทุนสำรองเงินสะสม!K19+เงินกู้!K19)</f>
        <v>0</v>
      </c>
      <c r="M19" s="157">
        <f>SUM(แผนงานรวม!M19+เงินสะสมรวม!L19+เงินทุนสำรองเงินสะสม!L19+เงินกู้!L19)</f>
        <v>0</v>
      </c>
      <c r="N19" s="157">
        <f>SUM(แผนงานรวม!N19+เงินสะสมรวม!M19+เงินทุนสำรองเงินสะสม!M19+เงินกู้!M19)</f>
        <v>0</v>
      </c>
      <c r="O19" s="157">
        <f>SUM(แผนงานรวม!O19+เงินสะสมรวม!N19+เงินทุนสำรองเงินสะสม!N19+เงินกู้!N19)</f>
        <v>0</v>
      </c>
    </row>
    <row r="20" spans="1:15" x14ac:dyDescent="0.55000000000000004">
      <c r="A20" s="10" t="s">
        <v>56</v>
      </c>
      <c r="B20" s="157">
        <f>SUM(งานบริหาร!D17+รักษาความสงบ!D17+การศึกษา!D17+สาธารณสุข!D17+สังคมสงเคราะห์!D17+เคหะชุมชน!D17+เข้มแข็งของชุมชน!D17+ศาสนา!D17+อุตสาหกรรม!D17+การเกษตร!D17+การพาณิชย์!D17+งบกลาง!D17)</f>
        <v>0</v>
      </c>
      <c r="C20" s="73">
        <f t="shared" si="0"/>
        <v>0</v>
      </c>
      <c r="D20" s="157">
        <f>SUM(แผนงานรวม!D20+เงินสะสมรวม!C20+เงินทุนสำรองเงินสะสม!C20+เงินกู้!C20)</f>
        <v>0</v>
      </c>
      <c r="E20" s="157">
        <f>SUM(แผนงานรวม!E20+เงินสะสมรวม!D20+เงินทุนสำรองเงินสะสม!D20+เงินกู้!D20)</f>
        <v>0</v>
      </c>
      <c r="F20" s="157">
        <f>SUM(แผนงานรวม!F20+เงินสะสมรวม!E20+เงินทุนสำรองเงินสะสม!E20+เงินกู้!E20)</f>
        <v>0</v>
      </c>
      <c r="G20" s="157">
        <f>SUM(แผนงานรวม!G20+เงินสะสมรวม!F20+เงินทุนสำรองเงินสะสม!F20+เงินกู้!F20)</f>
        <v>0</v>
      </c>
      <c r="H20" s="157">
        <f>SUM(แผนงานรวม!H20+เงินสะสมรวม!G20+เงินทุนสำรองเงินสะสม!G20+เงินกู้!G20)</f>
        <v>0</v>
      </c>
      <c r="I20" s="157">
        <f>SUM(แผนงานรวม!I20+เงินสะสมรวม!H20+เงินทุนสำรองเงินสะสม!H20+เงินกู้!H20)</f>
        <v>0</v>
      </c>
      <c r="J20" s="157">
        <f>SUM(แผนงานรวม!J20+เงินสะสมรวม!I20+เงินทุนสำรองเงินสะสม!I20+เงินกู้!I20)</f>
        <v>0</v>
      </c>
      <c r="K20" s="157">
        <f>SUM(แผนงานรวม!K20+เงินสะสมรวม!J20+เงินทุนสำรองเงินสะสม!J20+เงินกู้!J20)</f>
        <v>0</v>
      </c>
      <c r="L20" s="157">
        <f>SUM(แผนงานรวม!L20+เงินสะสมรวม!K20+เงินทุนสำรองเงินสะสม!K20+เงินกู้!K20)</f>
        <v>0</v>
      </c>
      <c r="M20" s="157">
        <f>SUM(แผนงานรวม!M20+เงินสะสมรวม!L20+เงินทุนสำรองเงินสะสม!L20+เงินกู้!L20)</f>
        <v>0</v>
      </c>
      <c r="N20" s="157">
        <f>SUM(แผนงานรวม!N20+เงินสะสมรวม!M20+เงินทุนสำรองเงินสะสม!M20+เงินกู้!M20)</f>
        <v>0</v>
      </c>
      <c r="O20" s="157">
        <f>SUM(แผนงานรวม!O20+เงินสะสมรวม!N20+เงินทุนสำรองเงินสะสม!N20+เงินกู้!N20)</f>
        <v>0</v>
      </c>
    </row>
    <row r="21" spans="1:15" x14ac:dyDescent="0.55000000000000004">
      <c r="A21" s="10" t="s">
        <v>29</v>
      </c>
      <c r="B21" s="157">
        <f>SUM(งานบริหาร!D18+รักษาความสงบ!D18+การศึกษา!D18+สาธารณสุข!D18+สังคมสงเคราะห์!D18+เคหะชุมชน!D18+เข้มแข็งของชุมชน!D18+ศาสนา!D18+อุตสาหกรรม!D18+การเกษตร!D18+การพาณิชย์!D18+งบกลาง!D18)</f>
        <v>3994500</v>
      </c>
      <c r="C21" s="73">
        <f t="shared" si="0"/>
        <v>2996631.77</v>
      </c>
      <c r="D21" s="157">
        <f>SUM(แผนงานรวม!D21+เงินสะสมรวม!C21+เงินทุนสำรองเงินสะสม!C21+เงินกู้!C21)</f>
        <v>25000</v>
      </c>
      <c r="E21" s="157">
        <f>SUM(แผนงานรวม!E21+เงินสะสมรวม!D21+เงินทุนสำรองเงินสะสม!D21+เงินกู้!D21)</f>
        <v>0</v>
      </c>
      <c r="F21" s="157">
        <f>SUM(แผนงานรวม!F21+เงินสะสมรวม!E21+เงินทุนสำรองเงินสะสม!E21+เงินกู้!E21)</f>
        <v>2362000</v>
      </c>
      <c r="G21" s="157">
        <f>SUM(แผนงานรวม!G21+เงินสะสมรวม!F21+เงินทุนสำรองเงินสะสม!F21+เงินกู้!F21)</f>
        <v>52500</v>
      </c>
      <c r="H21" s="157">
        <f>SUM(แผนงานรวม!H21+เงินสะสมรวม!G21+เงินทุนสำรองเงินสะสม!G21+เงินกู้!G21)</f>
        <v>0</v>
      </c>
      <c r="I21" s="157">
        <f>SUM(แผนงานรวม!I21+เงินสะสมรวม!H21+เงินทุนสำรองเงินสะสม!H21+เงินกู้!H21)</f>
        <v>482131.77</v>
      </c>
      <c r="J21" s="157">
        <f>SUM(แผนงานรวม!J21+เงินสะสมรวม!I21+เงินทุนสำรองเงินสะสม!I21+เงินกู้!I21)</f>
        <v>0</v>
      </c>
      <c r="K21" s="157">
        <f>SUM(แผนงานรวม!K21+เงินสะสมรวม!J21+เงินทุนสำรองเงินสะสม!J21+เงินกู้!J21)</f>
        <v>75000</v>
      </c>
      <c r="L21" s="157">
        <f>SUM(แผนงานรวม!L21+เงินสะสมรวม!K21+เงินทุนสำรองเงินสะสม!K21+เงินกู้!K21)</f>
        <v>0</v>
      </c>
      <c r="M21" s="157">
        <f>SUM(แผนงานรวม!M21+เงินสะสมรวม!L21+เงินทุนสำรองเงินสะสม!L21+เงินกู้!L21)</f>
        <v>0</v>
      </c>
      <c r="N21" s="157">
        <f>SUM(แผนงานรวม!N21+เงินสะสมรวม!M21+เงินทุนสำรองเงินสะสม!M21+เงินกู้!M21)</f>
        <v>0</v>
      </c>
      <c r="O21" s="157">
        <f>SUM(แผนงานรวม!O21+เงินสะสมรวม!N21+เงินทุนสำรองเงินสะสม!N21+เงินกู้!N21)</f>
        <v>0</v>
      </c>
    </row>
    <row r="22" spans="1:15" x14ac:dyDescent="0.55000000000000004">
      <c r="A22" s="147" t="s">
        <v>23</v>
      </c>
      <c r="B22" s="157">
        <f>SUM(งานบริหาร!D19+รักษาความสงบ!D19+การศึกษา!D19+สาธารณสุข!D19+สังคมสงเคราะห์!D19+เคหะชุมชน!D19+เข้มแข็งของชุมชน!D19+ศาสนา!D19+อุตสาหกรรม!D19+การเกษตร!D19+การพาณิชย์!D19+งบกลาง!D19)</f>
        <v>3429000</v>
      </c>
      <c r="C22" s="73">
        <f t="shared" si="0"/>
        <v>3150598.66</v>
      </c>
      <c r="D22" s="157">
        <f>SUM(แผนงานรวม!D22+เงินสะสมรวม!C22+เงินทุนสำรองเงินสะสม!C22+เงินกู้!C22)</f>
        <v>0</v>
      </c>
      <c r="E22" s="157">
        <f>SUM(แผนงานรวม!E22+เงินสะสมรวม!D22+เงินทุนสำรองเงินสะสม!D22+เงินกู้!D22)</f>
        <v>0</v>
      </c>
      <c r="F22" s="157">
        <f>SUM(แผนงานรวม!F22+เงินสะสมรวม!E22+เงินทุนสำรองเงินสะสม!E22+เงินกู้!E22)</f>
        <v>0</v>
      </c>
      <c r="G22" s="157">
        <f>SUM(แผนงานรวม!G22+เงินสะสมรวม!F22+เงินทุนสำรองเงินสะสม!F22+เงินกู้!F22)</f>
        <v>0</v>
      </c>
      <c r="H22" s="157">
        <f>SUM(แผนงานรวม!H22+เงินสะสมรวม!G22+เงินทุนสำรองเงินสะสม!G22+เงินกู้!G22)</f>
        <v>0</v>
      </c>
      <c r="I22" s="157">
        <f>SUM(แผนงานรวม!I22+เงินสะสมรวม!H22+เงินทุนสำรองเงินสะสม!H22+เงินกู้!H22)</f>
        <v>0</v>
      </c>
      <c r="J22" s="157">
        <f>SUM(แผนงานรวม!J22+เงินสะสมรวม!I22+เงินทุนสำรองเงินสะสม!I22+เงินกู้!I22)</f>
        <v>0</v>
      </c>
      <c r="K22" s="157">
        <f>SUM(แผนงานรวม!K22+เงินสะสมรวม!J22+เงินทุนสำรองเงินสะสม!J22+เงินกู้!J22)</f>
        <v>0</v>
      </c>
      <c r="L22" s="157">
        <f>SUM(แผนงานรวม!L22+เงินสะสมรวม!K22+เงินทุนสำรองเงินสะสม!K22+เงินกู้!K22)</f>
        <v>0</v>
      </c>
      <c r="M22" s="157">
        <f>SUM(แผนงานรวม!M22+เงินสะสมรวม!L22+เงินทุนสำรองเงินสะสม!L22+เงินกู้!L22)</f>
        <v>0</v>
      </c>
      <c r="N22" s="157">
        <f>SUM(แผนงานรวม!N22+เงินสะสมรวม!M22+เงินทุนสำรองเงินสะสม!M22+เงินกู้!M22)</f>
        <v>0</v>
      </c>
      <c r="O22" s="157">
        <f>SUM(แผนงานรวม!O22+เงินสะสมรวม!N22+เงินทุนสำรองเงินสะสม!N22+เงินกู้!N22)</f>
        <v>3150598.66</v>
      </c>
    </row>
    <row r="23" spans="1:15" x14ac:dyDescent="0.55000000000000004">
      <c r="A23" s="147" t="s">
        <v>23</v>
      </c>
      <c r="B23" s="157">
        <f>SUM(งานบริหาร!D20+รักษาความสงบ!D20+การศึกษา!D20+สาธารณสุข!D20+สังคมสงเคราะห์!D20+เคหะชุมชน!D20+เข้มแข็งของชุมชน!D20+ศาสนา!D20+อุตสาหกรรม!D20+การเกษตร!D20+การพาณิชย์!D20+งบกลาง!D20)</f>
        <v>0</v>
      </c>
      <c r="C23" s="73">
        <f t="shared" si="0"/>
        <v>5098100</v>
      </c>
      <c r="D23" s="157">
        <f>SUM(แผนงานรวม!D23+เงินสะสมรวม!C23+เงินทุนสำรองเงินสะสม!C23+เงินกู้!C23)</f>
        <v>0</v>
      </c>
      <c r="E23" s="157">
        <f>SUM(แผนงานรวม!E23+เงินสะสมรวม!D23+เงินทุนสำรองเงินสะสม!D23+เงินกู้!D23)</f>
        <v>0</v>
      </c>
      <c r="F23" s="157">
        <f>SUM(แผนงานรวม!F23+เงินสะสมรวม!E23+เงินทุนสำรองเงินสะสม!E23+เงินกู้!E23)</f>
        <v>0</v>
      </c>
      <c r="G23" s="157">
        <f>SUM(แผนงานรวม!G23+เงินสะสมรวม!F23+เงินทุนสำรองเงินสะสม!F23+เงินกู้!F23)</f>
        <v>0</v>
      </c>
      <c r="H23" s="157">
        <f>SUM(แผนงานรวม!H23+เงินสะสมรวม!G23+เงินทุนสำรองเงินสะสม!G23+เงินกู้!G23)</f>
        <v>0</v>
      </c>
      <c r="I23" s="157">
        <f>SUM(แผนงานรวม!I23+เงินสะสมรวม!H23+เงินทุนสำรองเงินสะสม!H23+เงินกู้!H23)</f>
        <v>0</v>
      </c>
      <c r="J23" s="157">
        <f>SUM(แผนงานรวม!J23+เงินสะสมรวม!I23+เงินทุนสำรองเงินสะสม!I23+เงินกู้!I23)</f>
        <v>0</v>
      </c>
      <c r="K23" s="157">
        <f>SUM(แผนงานรวม!K23+เงินสะสมรวม!J23+เงินทุนสำรองเงินสะสม!J23+เงินกู้!J23)</f>
        <v>0</v>
      </c>
      <c r="L23" s="157">
        <f>SUM(แผนงานรวม!L23+เงินสะสมรวม!K23+เงินทุนสำรองเงินสะสม!K23+เงินกู้!K23)</f>
        <v>0</v>
      </c>
      <c r="M23" s="157">
        <f>SUM(แผนงานรวม!M23+เงินสะสมรวม!L23+เงินทุนสำรองเงินสะสม!L23+เงินกู้!L23)</f>
        <v>0</v>
      </c>
      <c r="N23" s="157">
        <f>SUM(แผนงานรวม!N23+เงินสะสมรวม!M23+เงินทุนสำรองเงินสะสม!M23+เงินกู้!M23)</f>
        <v>0</v>
      </c>
      <c r="O23" s="157">
        <f>SUM(แผนงานรวม!O23+เงินสะสมรวม!N23+เงินทุนสำรองเงินสะสม!N23+เงินกู้!N23)</f>
        <v>5098100</v>
      </c>
    </row>
    <row r="24" spans="1:15" x14ac:dyDescent="0.55000000000000004">
      <c r="A24" s="148"/>
      <c r="B24" s="148"/>
      <c r="C24" s="73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73"/>
    </row>
    <row r="25" spans="1:15" x14ac:dyDescent="0.55000000000000004">
      <c r="A25" s="148"/>
      <c r="B25" s="148"/>
      <c r="C25" s="73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73"/>
    </row>
    <row r="26" spans="1:15" x14ac:dyDescent="0.55000000000000004">
      <c r="A26" s="149"/>
      <c r="B26" s="149"/>
      <c r="C26" s="153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3"/>
    </row>
    <row r="27" spans="1:15" x14ac:dyDescent="0.55000000000000004">
      <c r="A27" s="124"/>
      <c r="B27" s="164">
        <f>SUM(B10:B26)</f>
        <v>48398460</v>
      </c>
      <c r="C27" s="155">
        <f>SUM(C10:C26)</f>
        <v>58093447.460000008</v>
      </c>
      <c r="D27" s="156">
        <f>SUM(D10:D26)</f>
        <v>13776899.24</v>
      </c>
      <c r="E27" s="156">
        <f t="shared" ref="E27:O27" si="1">SUM(E10:E26)</f>
        <v>2420370.41</v>
      </c>
      <c r="F27" s="156">
        <f t="shared" si="1"/>
        <v>8737327.0600000005</v>
      </c>
      <c r="G27" s="156">
        <f t="shared" si="1"/>
        <v>1408491.53</v>
      </c>
      <c r="H27" s="156">
        <f t="shared" si="1"/>
        <v>1390002</v>
      </c>
      <c r="I27" s="156">
        <f t="shared" si="1"/>
        <v>20369497.859999999</v>
      </c>
      <c r="J27" s="156">
        <f t="shared" si="1"/>
        <v>1088872</v>
      </c>
      <c r="K27" s="156">
        <f t="shared" si="1"/>
        <v>653288.69999999995</v>
      </c>
      <c r="L27" s="156">
        <f t="shared" si="1"/>
        <v>0</v>
      </c>
      <c r="M27" s="156">
        <f t="shared" si="1"/>
        <v>0</v>
      </c>
      <c r="N27" s="156">
        <f t="shared" si="1"/>
        <v>0</v>
      </c>
      <c r="O27" s="154">
        <f t="shared" si="1"/>
        <v>8248698.6600000001</v>
      </c>
    </row>
    <row r="28" spans="1:15" x14ac:dyDescent="0.55000000000000004">
      <c r="A28" s="163" t="s">
        <v>32</v>
      </c>
      <c r="B28" s="163"/>
      <c r="C28" s="16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60"/>
    </row>
    <row r="29" spans="1:15" x14ac:dyDescent="0.55000000000000004">
      <c r="A29" s="147" t="s">
        <v>297</v>
      </c>
      <c r="B29" s="165">
        <v>2080000</v>
      </c>
      <c r="C29" s="73">
        <v>2472903.25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72"/>
    </row>
    <row r="30" spans="1:15" x14ac:dyDescent="0.55000000000000004">
      <c r="A30" s="147" t="s">
        <v>298</v>
      </c>
      <c r="B30" s="165">
        <v>1817000</v>
      </c>
      <c r="C30" s="73">
        <v>2175584.6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72"/>
    </row>
    <row r="31" spans="1:15" x14ac:dyDescent="0.55000000000000004">
      <c r="A31" s="147" t="s">
        <v>305</v>
      </c>
      <c r="B31" s="165">
        <v>1000000</v>
      </c>
      <c r="C31" s="73">
        <v>706023.89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72"/>
    </row>
    <row r="32" spans="1:15" x14ac:dyDescent="0.55000000000000004">
      <c r="A32" s="147" t="s">
        <v>299</v>
      </c>
      <c r="B32" s="165">
        <v>0</v>
      </c>
      <c r="C32" s="73"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2"/>
    </row>
    <row r="33" spans="1:15" x14ac:dyDescent="0.55000000000000004">
      <c r="A33" s="147" t="s">
        <v>300</v>
      </c>
      <c r="B33" s="165">
        <v>200000</v>
      </c>
      <c r="C33" s="73">
        <v>149610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72"/>
    </row>
    <row r="34" spans="1:15" x14ac:dyDescent="0.55000000000000004">
      <c r="A34" s="147" t="s">
        <v>301</v>
      </c>
      <c r="B34" s="165">
        <v>3000</v>
      </c>
      <c r="C34" s="73">
        <v>5900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72"/>
    </row>
    <row r="35" spans="1:15" x14ac:dyDescent="0.55000000000000004">
      <c r="A35" s="147" t="s">
        <v>302</v>
      </c>
      <c r="B35" s="165">
        <v>28000000</v>
      </c>
      <c r="C35" s="73">
        <v>23153517.539999999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72"/>
    </row>
    <row r="36" spans="1:15" x14ac:dyDescent="0.55000000000000004">
      <c r="A36" s="147" t="s">
        <v>303</v>
      </c>
      <c r="B36" s="165">
        <v>15300000</v>
      </c>
      <c r="C36" s="73">
        <v>11862744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72"/>
    </row>
    <row r="37" spans="1:15" x14ac:dyDescent="0.55000000000000004">
      <c r="A37" s="147" t="s">
        <v>304</v>
      </c>
      <c r="B37" s="165"/>
      <c r="C37" s="73">
        <v>6856600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72"/>
    </row>
    <row r="38" spans="1:15" x14ac:dyDescent="0.55000000000000004">
      <c r="A38" s="147"/>
      <c r="B38" s="147"/>
      <c r="C38" s="73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72"/>
    </row>
    <row r="39" spans="1:15" x14ac:dyDescent="0.55000000000000004">
      <c r="A39" s="152"/>
      <c r="B39" s="152"/>
      <c r="C39" s="15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150"/>
    </row>
    <row r="40" spans="1:15" x14ac:dyDescent="0.55000000000000004">
      <c r="A40" s="162"/>
      <c r="B40" s="166">
        <f>SUM(B29:B39)</f>
        <v>48400000</v>
      </c>
      <c r="C40" s="155">
        <f>SUM(C29:C39)</f>
        <v>47382883.280000001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54"/>
    </row>
    <row r="41" spans="1:15" ht="24.75" thickBot="1" x14ac:dyDescent="0.6">
      <c r="A41" s="167" t="s">
        <v>306</v>
      </c>
      <c r="B41" s="77"/>
      <c r="C41" s="76">
        <f>SUM(C40-C27)</f>
        <v>-10710564.180000007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78"/>
    </row>
    <row r="42" spans="1:15" ht="24.75" thickTop="1" x14ac:dyDescent="0.55000000000000004">
      <c r="A42" s="77"/>
      <c r="B42" s="77"/>
      <c r="C42" s="7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78"/>
    </row>
    <row r="43" spans="1:15" x14ac:dyDescent="0.55000000000000004">
      <c r="A43" s="77"/>
      <c r="B43" s="77"/>
      <c r="C43" s="7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78"/>
    </row>
    <row r="44" spans="1:15" x14ac:dyDescent="0.55000000000000004">
      <c r="A44" s="77"/>
      <c r="B44" s="77"/>
      <c r="C44" s="7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78"/>
    </row>
    <row r="45" spans="1:15" x14ac:dyDescent="0.55000000000000004">
      <c r="A45" s="77"/>
      <c r="B45" s="77"/>
      <c r="C45" s="7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78"/>
    </row>
    <row r="46" spans="1:15" x14ac:dyDescent="0.55000000000000004">
      <c r="A46" s="77"/>
      <c r="B46" s="77"/>
      <c r="C46" s="7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78"/>
    </row>
    <row r="47" spans="1:15" x14ac:dyDescent="0.55000000000000004">
      <c r="A47" s="77"/>
      <c r="B47" s="77"/>
      <c r="C47" s="79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78"/>
    </row>
    <row r="48" spans="1:15" x14ac:dyDescent="0.55000000000000004">
      <c r="A48" s="77"/>
      <c r="B48" s="77"/>
      <c r="C48" s="79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78"/>
    </row>
    <row r="49" spans="1:15" x14ac:dyDescent="0.55000000000000004">
      <c r="A49" s="77"/>
      <c r="B49" s="77"/>
      <c r="C49" s="79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78"/>
    </row>
    <row r="50" spans="1:15" x14ac:dyDescent="0.55000000000000004">
      <c r="A50" s="77"/>
      <c r="B50" s="77"/>
      <c r="C50" s="79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78"/>
    </row>
    <row r="51" spans="1:15" x14ac:dyDescent="0.55000000000000004">
      <c r="A51" s="77"/>
      <c r="B51" s="77"/>
      <c r="C51" s="79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78"/>
    </row>
  </sheetData>
  <mergeCells count="19">
    <mergeCell ref="G6:G8"/>
    <mergeCell ref="H6:H8"/>
    <mergeCell ref="I6:I8"/>
    <mergeCell ref="M6:M8"/>
    <mergeCell ref="N6:N8"/>
    <mergeCell ref="A1:O1"/>
    <mergeCell ref="A2:O2"/>
    <mergeCell ref="A3:O3"/>
    <mergeCell ref="O6:O8"/>
    <mergeCell ref="A4:A8"/>
    <mergeCell ref="B4:B8"/>
    <mergeCell ref="C4:C8"/>
    <mergeCell ref="D4:O5"/>
    <mergeCell ref="J6:J8"/>
    <mergeCell ref="K6:K8"/>
    <mergeCell ref="L6:L8"/>
    <mergeCell ref="D6:D8"/>
    <mergeCell ref="E6:E8"/>
    <mergeCell ref="F6:F8"/>
  </mergeCells>
  <printOptions horizontalCentered="1"/>
  <pageMargins left="7.874015748031496E-2" right="7.874015748031496E-2" top="0.62992125984251968" bottom="0.74803149606299213" header="0.31496062992125984" footer="0.31496062992125984"/>
  <pageSetup paperSize="9" scale="65" orientation="landscape" horizontalDpi="12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2"/>
  <sheetViews>
    <sheetView workbookViewId="0">
      <selection activeCell="F23" sqref="F23:F39"/>
    </sheetView>
  </sheetViews>
  <sheetFormatPr defaultColWidth="14.7109375" defaultRowHeight="24" x14ac:dyDescent="0.55000000000000004"/>
  <cols>
    <col min="1" max="1" width="35.140625" style="17" bestFit="1" customWidth="1"/>
    <col min="2" max="2" width="15.7109375" style="16" bestFit="1" customWidth="1"/>
    <col min="3" max="3" width="14.5703125" style="16" bestFit="1" customWidth="1"/>
    <col min="4" max="4" width="14.42578125" style="16" customWidth="1"/>
    <col min="5" max="5" width="12.5703125" style="16" customWidth="1"/>
    <col min="6" max="6" width="15.7109375" style="16" bestFit="1" customWidth="1"/>
    <col min="7" max="16384" width="14.7109375" style="3"/>
  </cols>
  <sheetData>
    <row r="1" spans="1:6" x14ac:dyDescent="0.55000000000000004">
      <c r="A1" s="259" t="s">
        <v>30</v>
      </c>
      <c r="B1" s="259"/>
      <c r="C1" s="259"/>
      <c r="D1" s="259"/>
      <c r="E1" s="259"/>
      <c r="F1" s="259"/>
    </row>
    <row r="2" spans="1:6" x14ac:dyDescent="0.55000000000000004">
      <c r="A2" s="259" t="s">
        <v>129</v>
      </c>
      <c r="B2" s="259"/>
      <c r="C2" s="259"/>
      <c r="D2" s="259"/>
      <c r="E2" s="259"/>
      <c r="F2" s="259"/>
    </row>
    <row r="3" spans="1:6" x14ac:dyDescent="0.55000000000000004">
      <c r="A3" s="260" t="str">
        <f>งบทดลอง!A3</f>
        <v>ณ  วันที่  30 กันยายน  2559</v>
      </c>
      <c r="B3" s="260"/>
      <c r="C3" s="260"/>
      <c r="D3" s="260"/>
      <c r="E3" s="260"/>
      <c r="F3" s="260"/>
    </row>
    <row r="4" spans="1:6" x14ac:dyDescent="0.55000000000000004">
      <c r="A4" s="21" t="s">
        <v>203</v>
      </c>
      <c r="B4" s="21" t="s">
        <v>33</v>
      </c>
      <c r="C4" s="21" t="s">
        <v>130</v>
      </c>
      <c r="D4" s="21" t="s">
        <v>131</v>
      </c>
      <c r="E4" s="21" t="s">
        <v>204</v>
      </c>
      <c r="F4" s="21" t="s">
        <v>49</v>
      </c>
    </row>
    <row r="5" spans="1:6" x14ac:dyDescent="0.55000000000000004">
      <c r="A5" s="22" t="s">
        <v>36</v>
      </c>
      <c r="B5" s="22"/>
      <c r="C5" s="22"/>
      <c r="D5" s="22"/>
      <c r="E5" s="22"/>
      <c r="F5" s="22"/>
    </row>
    <row r="6" spans="1:6" x14ac:dyDescent="0.55000000000000004">
      <c r="A6" s="25" t="s">
        <v>37</v>
      </c>
      <c r="B6" s="26">
        <v>11614000</v>
      </c>
      <c r="C6" s="26">
        <v>0</v>
      </c>
      <c r="D6" s="26">
        <v>0</v>
      </c>
      <c r="E6" s="26">
        <v>0</v>
      </c>
      <c r="F6" s="26">
        <f>SUM(B6+C6-D6+E6)</f>
        <v>11614000</v>
      </c>
    </row>
    <row r="7" spans="1:6" x14ac:dyDescent="0.55000000000000004">
      <c r="A7" s="25" t="s">
        <v>60</v>
      </c>
      <c r="B7" s="26">
        <v>21264424.000000004</v>
      </c>
      <c r="C7" s="26">
        <v>2946000</v>
      </c>
      <c r="D7" s="26">
        <v>0</v>
      </c>
      <c r="E7" s="90">
        <v>0</v>
      </c>
      <c r="F7" s="26">
        <f t="shared" ref="F7:F21" si="0">SUM(B7+C7-D7+E7)</f>
        <v>24210424.000000004</v>
      </c>
    </row>
    <row r="8" spans="1:6" x14ac:dyDescent="0.55000000000000004">
      <c r="A8" s="25" t="s">
        <v>95</v>
      </c>
      <c r="B8" s="26">
        <v>2445222</v>
      </c>
      <c r="C8" s="26">
        <v>0</v>
      </c>
      <c r="D8" s="26">
        <v>0</v>
      </c>
      <c r="E8" s="26">
        <v>0</v>
      </c>
      <c r="F8" s="26">
        <f t="shared" si="0"/>
        <v>2445222</v>
      </c>
    </row>
    <row r="9" spans="1:6" x14ac:dyDescent="0.55000000000000004">
      <c r="A9" s="25" t="s">
        <v>94</v>
      </c>
      <c r="B9" s="26">
        <v>589698.4</v>
      </c>
      <c r="C9" s="26">
        <v>0</v>
      </c>
      <c r="D9" s="26">
        <v>0</v>
      </c>
      <c r="E9" s="26">
        <v>0</v>
      </c>
      <c r="F9" s="26">
        <f t="shared" si="0"/>
        <v>589698.4</v>
      </c>
    </row>
    <row r="10" spans="1:6" x14ac:dyDescent="0.55000000000000004">
      <c r="A10" s="25" t="s">
        <v>96</v>
      </c>
      <c r="B10" s="26">
        <v>357000</v>
      </c>
      <c r="C10" s="26">
        <v>0</v>
      </c>
      <c r="D10" s="26">
        <v>0</v>
      </c>
      <c r="E10" s="26">
        <v>0</v>
      </c>
      <c r="F10" s="26">
        <f t="shared" si="0"/>
        <v>357000</v>
      </c>
    </row>
    <row r="11" spans="1:6" x14ac:dyDescent="0.55000000000000004">
      <c r="A11" s="25" t="s">
        <v>97</v>
      </c>
      <c r="B11" s="26">
        <v>100000</v>
      </c>
      <c r="C11" s="26">
        <v>0</v>
      </c>
      <c r="D11" s="26">
        <v>0</v>
      </c>
      <c r="E11" s="26">
        <v>0</v>
      </c>
      <c r="F11" s="26">
        <f t="shared" si="0"/>
        <v>100000</v>
      </c>
    </row>
    <row r="12" spans="1:6" x14ac:dyDescent="0.55000000000000004">
      <c r="A12" s="25" t="s">
        <v>98</v>
      </c>
      <c r="B12" s="26">
        <v>969000</v>
      </c>
      <c r="C12" s="26">
        <v>0</v>
      </c>
      <c r="D12" s="26">
        <v>0</v>
      </c>
      <c r="E12" s="26">
        <v>0</v>
      </c>
      <c r="F12" s="26">
        <f t="shared" si="0"/>
        <v>969000</v>
      </c>
    </row>
    <row r="13" spans="1:6" x14ac:dyDescent="0.55000000000000004">
      <c r="A13" s="25" t="s">
        <v>99</v>
      </c>
      <c r="B13" s="26">
        <v>149000</v>
      </c>
      <c r="C13" s="26">
        <v>0</v>
      </c>
      <c r="D13" s="26">
        <v>0</v>
      </c>
      <c r="E13" s="26">
        <v>0</v>
      </c>
      <c r="F13" s="26">
        <f t="shared" si="0"/>
        <v>149000</v>
      </c>
    </row>
    <row r="14" spans="1:6" x14ac:dyDescent="0.55000000000000004">
      <c r="A14" s="25" t="s">
        <v>100</v>
      </c>
      <c r="B14" s="26">
        <v>3939000</v>
      </c>
      <c r="C14" s="26">
        <v>0</v>
      </c>
      <c r="D14" s="26">
        <v>0</v>
      </c>
      <c r="E14" s="26">
        <v>0</v>
      </c>
      <c r="F14" s="26">
        <f t="shared" si="0"/>
        <v>3939000</v>
      </c>
    </row>
    <row r="15" spans="1:6" x14ac:dyDescent="0.55000000000000004">
      <c r="A15" s="25" t="s">
        <v>101</v>
      </c>
      <c r="B15" s="26">
        <v>75000</v>
      </c>
      <c r="C15" s="26">
        <v>0</v>
      </c>
      <c r="D15" s="26">
        <v>0</v>
      </c>
      <c r="E15" s="26">
        <v>0</v>
      </c>
      <c r="F15" s="26">
        <f t="shared" si="0"/>
        <v>75000</v>
      </c>
    </row>
    <row r="16" spans="1:6" x14ac:dyDescent="0.55000000000000004">
      <c r="A16" s="25" t="s">
        <v>172</v>
      </c>
      <c r="B16" s="26">
        <v>1200000</v>
      </c>
      <c r="C16" s="26">
        <v>0</v>
      </c>
      <c r="D16" s="26">
        <v>199020</v>
      </c>
      <c r="E16" s="26">
        <v>0</v>
      </c>
      <c r="F16" s="26">
        <f t="shared" si="0"/>
        <v>1000980</v>
      </c>
    </row>
    <row r="17" spans="1:6" x14ac:dyDescent="0.55000000000000004">
      <c r="A17" s="25" t="s">
        <v>200</v>
      </c>
      <c r="B17" s="26">
        <v>542000</v>
      </c>
      <c r="C17" s="26">
        <v>0</v>
      </c>
      <c r="D17" s="26">
        <v>0</v>
      </c>
      <c r="E17" s="26">
        <v>0</v>
      </c>
      <c r="F17" s="26">
        <f t="shared" si="0"/>
        <v>542000</v>
      </c>
    </row>
    <row r="18" spans="1:6" x14ac:dyDescent="0.55000000000000004">
      <c r="A18" s="25" t="s">
        <v>201</v>
      </c>
      <c r="B18" s="26">
        <v>300400</v>
      </c>
      <c r="C18" s="26">
        <v>0</v>
      </c>
      <c r="D18" s="26">
        <v>0</v>
      </c>
      <c r="E18" s="26">
        <v>0</v>
      </c>
      <c r="F18" s="26">
        <f t="shared" si="0"/>
        <v>300400</v>
      </c>
    </row>
    <row r="19" spans="1:6" x14ac:dyDescent="0.55000000000000004">
      <c r="A19" s="25" t="s">
        <v>202</v>
      </c>
      <c r="B19" s="26">
        <v>20000</v>
      </c>
      <c r="C19" s="26">
        <v>0</v>
      </c>
      <c r="D19" s="26">
        <v>0</v>
      </c>
      <c r="E19" s="26">
        <v>0</v>
      </c>
      <c r="F19" s="26">
        <f t="shared" si="0"/>
        <v>20000</v>
      </c>
    </row>
    <row r="20" spans="1:6" x14ac:dyDescent="0.55000000000000004">
      <c r="A20" s="25" t="s">
        <v>333</v>
      </c>
      <c r="B20" s="26">
        <v>199500</v>
      </c>
      <c r="C20" s="26">
        <v>0</v>
      </c>
      <c r="D20" s="26">
        <v>0</v>
      </c>
      <c r="E20" s="26">
        <v>0</v>
      </c>
      <c r="F20" s="26">
        <f t="shared" si="0"/>
        <v>199500</v>
      </c>
    </row>
    <row r="21" spans="1:6" x14ac:dyDescent="0.55000000000000004">
      <c r="A21" s="25" t="s">
        <v>334</v>
      </c>
      <c r="B21" s="26">
        <v>79500</v>
      </c>
      <c r="C21" s="26">
        <v>0</v>
      </c>
      <c r="D21" s="26">
        <v>0</v>
      </c>
      <c r="E21" s="26">
        <v>0</v>
      </c>
      <c r="F21" s="26">
        <f t="shared" si="0"/>
        <v>79500</v>
      </c>
    </row>
    <row r="22" spans="1:6" x14ac:dyDescent="0.55000000000000004">
      <c r="A22" s="28" t="s">
        <v>38</v>
      </c>
      <c r="B22" s="26"/>
      <c r="C22" s="26"/>
      <c r="D22" s="26"/>
      <c r="E22" s="26"/>
      <c r="F22" s="26"/>
    </row>
    <row r="23" spans="1:6" x14ac:dyDescent="0.55000000000000004">
      <c r="A23" s="25" t="s">
        <v>102</v>
      </c>
      <c r="B23" s="26">
        <v>12434363</v>
      </c>
      <c r="C23" s="26">
        <v>350000</v>
      </c>
      <c r="D23" s="26">
        <v>0</v>
      </c>
      <c r="E23" s="26">
        <v>0</v>
      </c>
      <c r="F23" s="26">
        <f>SUM(B23+C23-D23+E23)</f>
        <v>12784363</v>
      </c>
    </row>
    <row r="24" spans="1:6" x14ac:dyDescent="0.55000000000000004">
      <c r="A24" s="25" t="s">
        <v>39</v>
      </c>
      <c r="B24" s="26"/>
      <c r="C24" s="26"/>
      <c r="D24" s="26"/>
      <c r="E24" s="26"/>
      <c r="F24" s="26"/>
    </row>
    <row r="25" spans="1:6" x14ac:dyDescent="0.55000000000000004">
      <c r="A25" s="25" t="s">
        <v>85</v>
      </c>
      <c r="B25" s="26">
        <v>19700</v>
      </c>
      <c r="C25" s="26">
        <v>0</v>
      </c>
      <c r="D25" s="26">
        <v>0</v>
      </c>
      <c r="E25" s="26">
        <v>0</v>
      </c>
      <c r="F25" s="26">
        <f t="shared" ref="F25:F39" si="1">SUM(B25+C25-D25+E25)</f>
        <v>19700</v>
      </c>
    </row>
    <row r="26" spans="1:6" x14ac:dyDescent="0.55000000000000004">
      <c r="A26" s="25" t="s">
        <v>86</v>
      </c>
      <c r="B26" s="26">
        <v>49639.5</v>
      </c>
      <c r="C26" s="26">
        <v>0</v>
      </c>
      <c r="D26" s="26">
        <v>0</v>
      </c>
      <c r="E26" s="26">
        <v>0</v>
      </c>
      <c r="F26" s="26">
        <f t="shared" si="1"/>
        <v>49639.5</v>
      </c>
    </row>
    <row r="27" spans="1:6" x14ac:dyDescent="0.55000000000000004">
      <c r="A27" s="25" t="s">
        <v>87</v>
      </c>
      <c r="B27" s="26">
        <v>752540</v>
      </c>
      <c r="C27" s="26">
        <v>0</v>
      </c>
      <c r="D27" s="26">
        <v>306540</v>
      </c>
      <c r="E27" s="26">
        <v>0</v>
      </c>
      <c r="F27" s="26">
        <f t="shared" si="1"/>
        <v>446000</v>
      </c>
    </row>
    <row r="28" spans="1:6" x14ac:dyDescent="0.55000000000000004">
      <c r="A28" s="25" t="s">
        <v>103</v>
      </c>
      <c r="B28" s="26">
        <v>241556</v>
      </c>
      <c r="C28" s="26">
        <v>0</v>
      </c>
      <c r="D28" s="26">
        <v>0</v>
      </c>
      <c r="E28" s="26">
        <v>0</v>
      </c>
      <c r="F28" s="26">
        <f t="shared" si="1"/>
        <v>241556</v>
      </c>
    </row>
    <row r="29" spans="1:6" x14ac:dyDescent="0.55000000000000004">
      <c r="A29" s="25" t="s">
        <v>104</v>
      </c>
      <c r="B29" s="26">
        <v>4160509.5</v>
      </c>
      <c r="C29" s="26">
        <v>583430</v>
      </c>
      <c r="D29" s="26">
        <v>572360</v>
      </c>
      <c r="E29" s="26">
        <v>0</v>
      </c>
      <c r="F29" s="26">
        <f t="shared" si="1"/>
        <v>4171579.5</v>
      </c>
    </row>
    <row r="30" spans="1:6" x14ac:dyDescent="0.55000000000000004">
      <c r="A30" s="25" t="s">
        <v>105</v>
      </c>
      <c r="B30" s="26">
        <v>113400</v>
      </c>
      <c r="C30" s="26">
        <v>5400</v>
      </c>
      <c r="D30" s="26">
        <v>0</v>
      </c>
      <c r="E30" s="26">
        <v>0</v>
      </c>
      <c r="F30" s="26">
        <f t="shared" si="1"/>
        <v>118800</v>
      </c>
    </row>
    <row r="31" spans="1:6" x14ac:dyDescent="0.55000000000000004">
      <c r="A31" s="25" t="s">
        <v>128</v>
      </c>
      <c r="B31" s="26">
        <v>76500</v>
      </c>
      <c r="C31" s="26">
        <v>0</v>
      </c>
      <c r="D31" s="26">
        <v>0</v>
      </c>
      <c r="E31" s="26">
        <v>0</v>
      </c>
      <c r="F31" s="26">
        <f t="shared" si="1"/>
        <v>76500</v>
      </c>
    </row>
    <row r="32" spans="1:6" x14ac:dyDescent="0.55000000000000004">
      <c r="A32" s="25" t="s">
        <v>158</v>
      </c>
      <c r="B32" s="29">
        <v>74000</v>
      </c>
      <c r="C32" s="29">
        <v>0</v>
      </c>
      <c r="D32" s="26">
        <v>0</v>
      </c>
      <c r="E32" s="29">
        <v>0</v>
      </c>
      <c r="F32" s="26">
        <f t="shared" si="1"/>
        <v>74000</v>
      </c>
    </row>
    <row r="33" spans="1:6" x14ac:dyDescent="0.55000000000000004">
      <c r="A33" s="25" t="s">
        <v>169</v>
      </c>
      <c r="B33" s="29">
        <v>7500</v>
      </c>
      <c r="C33" s="29">
        <v>0</v>
      </c>
      <c r="D33" s="26">
        <v>0</v>
      </c>
      <c r="E33" s="29"/>
      <c r="F33" s="26">
        <f t="shared" si="1"/>
        <v>7500</v>
      </c>
    </row>
    <row r="34" spans="1:6" x14ac:dyDescent="0.55000000000000004">
      <c r="A34" s="30" t="s">
        <v>159</v>
      </c>
      <c r="B34" s="29">
        <v>358700</v>
      </c>
      <c r="C34" s="29">
        <v>0</v>
      </c>
      <c r="D34" s="26">
        <v>298000</v>
      </c>
      <c r="E34" s="29">
        <v>0</v>
      </c>
      <c r="F34" s="29">
        <f t="shared" si="1"/>
        <v>60700</v>
      </c>
    </row>
    <row r="35" spans="1:6" x14ac:dyDescent="0.55000000000000004">
      <c r="A35" s="30" t="s">
        <v>173</v>
      </c>
      <c r="B35" s="29">
        <v>287200</v>
      </c>
      <c r="C35" s="29">
        <v>207200</v>
      </c>
      <c r="D35" s="26">
        <v>1000</v>
      </c>
      <c r="E35" s="29">
        <v>0</v>
      </c>
      <c r="F35" s="29">
        <f t="shared" si="1"/>
        <v>493400</v>
      </c>
    </row>
    <row r="36" spans="1:6" x14ac:dyDescent="0.55000000000000004">
      <c r="A36" s="30" t="s">
        <v>174</v>
      </c>
      <c r="B36" s="29">
        <v>51770</v>
      </c>
      <c r="C36" s="29">
        <v>28900</v>
      </c>
      <c r="D36" s="26">
        <v>0</v>
      </c>
      <c r="E36" s="29">
        <v>0</v>
      </c>
      <c r="F36" s="29">
        <f t="shared" si="1"/>
        <v>80670</v>
      </c>
    </row>
    <row r="37" spans="1:6" x14ac:dyDescent="0.55000000000000004">
      <c r="A37" s="30" t="s">
        <v>175</v>
      </c>
      <c r="B37" s="29">
        <v>1234860</v>
      </c>
      <c r="C37" s="29">
        <v>342990</v>
      </c>
      <c r="D37" s="26">
        <v>0</v>
      </c>
      <c r="E37" s="29">
        <v>0</v>
      </c>
      <c r="F37" s="29">
        <f t="shared" ref="F37:F38" si="2">SUM(B37+C37-D37+E37)</f>
        <v>1577850</v>
      </c>
    </row>
    <row r="38" spans="1:6" x14ac:dyDescent="0.55000000000000004">
      <c r="A38" s="30" t="s">
        <v>766</v>
      </c>
      <c r="B38" s="29">
        <v>0</v>
      </c>
      <c r="C38" s="29">
        <f>15000+30000</f>
        <v>45000</v>
      </c>
      <c r="D38" s="26">
        <v>0</v>
      </c>
      <c r="E38" s="29">
        <v>0</v>
      </c>
      <c r="F38" s="29">
        <f t="shared" si="2"/>
        <v>45000</v>
      </c>
    </row>
    <row r="39" spans="1:6" x14ac:dyDescent="0.55000000000000004">
      <c r="A39" s="30" t="s">
        <v>767</v>
      </c>
      <c r="B39" s="29">
        <v>0</v>
      </c>
      <c r="C39" s="29">
        <v>60000</v>
      </c>
      <c r="D39" s="26">
        <v>0</v>
      </c>
      <c r="E39" s="29">
        <v>0</v>
      </c>
      <c r="F39" s="29">
        <f t="shared" si="1"/>
        <v>60000</v>
      </c>
    </row>
    <row r="40" spans="1:6" x14ac:dyDescent="0.55000000000000004">
      <c r="A40" s="30"/>
      <c r="B40" s="29"/>
      <c r="C40" s="29"/>
      <c r="D40" s="29"/>
      <c r="E40" s="29"/>
      <c r="F40" s="29"/>
    </row>
    <row r="41" spans="1:6" ht="24.75" thickBot="1" x14ac:dyDescent="0.6">
      <c r="A41" s="46" t="s">
        <v>9</v>
      </c>
      <c r="B41" s="47">
        <f>SUM(B6:B39)</f>
        <v>63705982.399999999</v>
      </c>
      <c r="C41" s="47">
        <f>SUM(C6:C39)</f>
        <v>4568920</v>
      </c>
      <c r="D41" s="47">
        <f>SUM(D6:D39)</f>
        <v>1376920</v>
      </c>
      <c r="E41" s="47">
        <f>SUM(E6:E39)</f>
        <v>0</v>
      </c>
      <c r="F41" s="47">
        <f>SUM(F6:F39)</f>
        <v>66897982.399999999</v>
      </c>
    </row>
    <row r="42" spans="1:6" ht="24.75" thickTop="1" x14ac:dyDescent="0.55000000000000004">
      <c r="A42" s="36"/>
      <c r="B42" s="37"/>
      <c r="C42" s="37"/>
      <c r="D42" s="37"/>
      <c r="E42" s="37"/>
      <c r="F42" s="37"/>
    </row>
  </sheetData>
  <mergeCells count="3">
    <mergeCell ref="A1:F1"/>
    <mergeCell ref="A2:F2"/>
    <mergeCell ref="A3:F3"/>
  </mergeCells>
  <phoneticPr fontId="1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54"/>
  <sheetViews>
    <sheetView topLeftCell="A34" workbookViewId="0">
      <selection activeCell="H44" sqref="H44"/>
    </sheetView>
  </sheetViews>
  <sheetFormatPr defaultRowHeight="24" x14ac:dyDescent="0.55000000000000004"/>
  <cols>
    <col min="1" max="1" width="7" style="17" customWidth="1"/>
    <col min="2" max="3" width="16.85546875" style="17" hidden="1" customWidth="1"/>
    <col min="4" max="4" width="17.140625" style="17" hidden="1" customWidth="1"/>
    <col min="5" max="5" width="55.7109375" style="17" customWidth="1"/>
    <col min="6" max="6" width="35.28515625" style="17" customWidth="1"/>
    <col min="7" max="7" width="14.28515625" style="17" customWidth="1"/>
    <col min="8" max="8" width="15.28515625" style="17" bestFit="1" customWidth="1"/>
    <col min="9" max="9" width="12.5703125" style="17" customWidth="1"/>
    <col min="10" max="16384" width="9.140625" style="17"/>
  </cols>
  <sheetData>
    <row r="1" spans="1:9" x14ac:dyDescent="0.55000000000000004">
      <c r="A1" s="17" t="s">
        <v>30</v>
      </c>
    </row>
    <row r="2" spans="1:9" x14ac:dyDescent="0.55000000000000004">
      <c r="A2" s="17" t="s">
        <v>133</v>
      </c>
    </row>
    <row r="3" spans="1:9" x14ac:dyDescent="0.55000000000000004">
      <c r="A3" s="17" t="s">
        <v>765</v>
      </c>
    </row>
    <row r="4" spans="1:9" s="187" customFormat="1" x14ac:dyDescent="0.55000000000000004">
      <c r="A4" s="188" t="s">
        <v>134</v>
      </c>
      <c r="B4" s="188" t="s">
        <v>176</v>
      </c>
      <c r="C4" s="188" t="s">
        <v>138</v>
      </c>
      <c r="D4" s="188" t="s">
        <v>139</v>
      </c>
      <c r="E4" s="188" t="s">
        <v>21</v>
      </c>
      <c r="F4" s="188" t="s">
        <v>135</v>
      </c>
      <c r="G4" s="188" t="s">
        <v>136</v>
      </c>
      <c r="H4" s="188" t="s">
        <v>137</v>
      </c>
      <c r="I4" s="188" t="s">
        <v>50</v>
      </c>
    </row>
    <row r="5" spans="1:9" x14ac:dyDescent="0.55000000000000004">
      <c r="A5" s="48">
        <v>1</v>
      </c>
      <c r="B5" s="189"/>
      <c r="C5" s="48"/>
      <c r="D5" s="189"/>
      <c r="E5" s="195" t="s">
        <v>373</v>
      </c>
      <c r="F5" s="195" t="s">
        <v>400</v>
      </c>
      <c r="G5" s="50" t="s">
        <v>189</v>
      </c>
      <c r="H5" s="196">
        <v>15000</v>
      </c>
      <c r="I5" s="50"/>
    </row>
    <row r="6" spans="1:9" x14ac:dyDescent="0.55000000000000004">
      <c r="A6" s="51"/>
      <c r="B6" s="49"/>
      <c r="C6" s="51"/>
      <c r="D6" s="49"/>
      <c r="E6" s="197"/>
      <c r="F6" s="197"/>
      <c r="G6" s="25"/>
      <c r="H6" s="198">
        <f>SUM(H5)</f>
        <v>15000</v>
      </c>
      <c r="I6" s="25"/>
    </row>
    <row r="7" spans="1:9" x14ac:dyDescent="0.55000000000000004">
      <c r="A7" s="51">
        <v>2</v>
      </c>
      <c r="B7" s="49"/>
      <c r="C7" s="51"/>
      <c r="D7" s="49"/>
      <c r="E7" s="197" t="s">
        <v>374</v>
      </c>
      <c r="F7" s="197" t="s">
        <v>191</v>
      </c>
      <c r="G7" s="25" t="s">
        <v>189</v>
      </c>
      <c r="H7" s="198">
        <v>41800</v>
      </c>
      <c r="I7" s="25"/>
    </row>
    <row r="8" spans="1:9" x14ac:dyDescent="0.55000000000000004">
      <c r="A8" s="51">
        <v>3</v>
      </c>
      <c r="B8" s="49"/>
      <c r="C8" s="51"/>
      <c r="D8" s="49"/>
      <c r="E8" s="197" t="s">
        <v>330</v>
      </c>
      <c r="F8" s="197" t="s">
        <v>191</v>
      </c>
      <c r="G8" s="25" t="s">
        <v>189</v>
      </c>
      <c r="H8" s="198">
        <v>20900</v>
      </c>
      <c r="I8" s="25"/>
    </row>
    <row r="9" spans="1:9" x14ac:dyDescent="0.55000000000000004">
      <c r="A9" s="51">
        <v>4</v>
      </c>
      <c r="B9" s="49"/>
      <c r="C9" s="51"/>
      <c r="D9" s="49"/>
      <c r="E9" s="197" t="s">
        <v>375</v>
      </c>
      <c r="F9" s="197" t="s">
        <v>191</v>
      </c>
      <c r="G9" s="25" t="s">
        <v>189</v>
      </c>
      <c r="H9" s="198">
        <v>52900</v>
      </c>
      <c r="I9" s="25"/>
    </row>
    <row r="10" spans="1:9" x14ac:dyDescent="0.55000000000000004">
      <c r="A10" s="51">
        <v>5</v>
      </c>
      <c r="B10" s="49"/>
      <c r="C10" s="51"/>
      <c r="D10" s="49"/>
      <c r="E10" s="197" t="s">
        <v>376</v>
      </c>
      <c r="F10" s="197" t="s">
        <v>191</v>
      </c>
      <c r="G10" s="25" t="s">
        <v>189</v>
      </c>
      <c r="H10" s="198">
        <v>20900</v>
      </c>
      <c r="I10" s="25"/>
    </row>
    <row r="11" spans="1:9" x14ac:dyDescent="0.55000000000000004">
      <c r="A11" s="51">
        <v>6</v>
      </c>
      <c r="B11" s="49"/>
      <c r="C11" s="51"/>
      <c r="D11" s="49"/>
      <c r="E11" s="197" t="s">
        <v>377</v>
      </c>
      <c r="F11" s="197" t="s">
        <v>191</v>
      </c>
      <c r="G11" s="25" t="s">
        <v>189</v>
      </c>
      <c r="H11" s="198">
        <f>37900-4200</f>
        <v>33700</v>
      </c>
      <c r="I11" s="25"/>
    </row>
    <row r="12" spans="1:9" x14ac:dyDescent="0.55000000000000004">
      <c r="A12" s="51">
        <v>7</v>
      </c>
      <c r="B12" s="49"/>
      <c r="C12" s="51"/>
      <c r="D12" s="49"/>
      <c r="E12" s="197" t="s">
        <v>328</v>
      </c>
      <c r="F12" s="197" t="s">
        <v>191</v>
      </c>
      <c r="G12" s="25" t="s">
        <v>189</v>
      </c>
      <c r="H12" s="198">
        <v>3300</v>
      </c>
      <c r="I12" s="25"/>
    </row>
    <row r="13" spans="1:9" x14ac:dyDescent="0.55000000000000004">
      <c r="A13" s="51">
        <v>8</v>
      </c>
      <c r="B13" s="49"/>
      <c r="C13" s="51"/>
      <c r="D13" s="49"/>
      <c r="E13" s="197" t="s">
        <v>378</v>
      </c>
      <c r="F13" s="197" t="s">
        <v>191</v>
      </c>
      <c r="G13" s="25" t="s">
        <v>189</v>
      </c>
      <c r="H13" s="198">
        <f>37900-4200</f>
        <v>33700</v>
      </c>
      <c r="I13" s="25"/>
    </row>
    <row r="14" spans="1:9" x14ac:dyDescent="0.55000000000000004">
      <c r="A14" s="51"/>
      <c r="B14" s="49"/>
      <c r="C14" s="51"/>
      <c r="D14" s="49"/>
      <c r="E14" s="197"/>
      <c r="F14" s="197"/>
      <c r="G14" s="25" t="s">
        <v>189</v>
      </c>
      <c r="H14" s="198">
        <f>SUM(H7:H13)</f>
        <v>207200</v>
      </c>
      <c r="I14" s="25"/>
    </row>
    <row r="15" spans="1:9" x14ac:dyDescent="0.55000000000000004">
      <c r="A15" s="51">
        <v>9</v>
      </c>
      <c r="B15" s="49"/>
      <c r="C15" s="51"/>
      <c r="D15" s="49"/>
      <c r="E15" s="197" t="s">
        <v>379</v>
      </c>
      <c r="F15" s="197" t="s">
        <v>401</v>
      </c>
      <c r="G15" s="25" t="s">
        <v>189</v>
      </c>
      <c r="H15" s="198">
        <v>28900</v>
      </c>
      <c r="I15" s="25"/>
    </row>
    <row r="16" spans="1:9" x14ac:dyDescent="0.55000000000000004">
      <c r="A16" s="51"/>
      <c r="B16" s="49"/>
      <c r="C16" s="51"/>
      <c r="D16" s="49"/>
      <c r="E16" s="197"/>
      <c r="F16" s="197"/>
      <c r="G16" s="25" t="s">
        <v>189</v>
      </c>
      <c r="H16" s="198">
        <f>SUM(H15)</f>
        <v>28900</v>
      </c>
      <c r="I16" s="25"/>
    </row>
    <row r="17" spans="1:9" x14ac:dyDescent="0.55000000000000004">
      <c r="A17" s="51">
        <v>11</v>
      </c>
      <c r="B17" s="49"/>
      <c r="C17" s="51"/>
      <c r="D17" s="49"/>
      <c r="E17" s="197" t="s">
        <v>380</v>
      </c>
      <c r="F17" s="197" t="s">
        <v>332</v>
      </c>
      <c r="G17" s="25" t="s">
        <v>189</v>
      </c>
      <c r="H17" s="198">
        <v>4990</v>
      </c>
      <c r="I17" s="25"/>
    </row>
    <row r="18" spans="1:9" x14ac:dyDescent="0.55000000000000004">
      <c r="A18" s="51">
        <v>12</v>
      </c>
      <c r="B18" s="49"/>
      <c r="C18" s="51"/>
      <c r="D18" s="49"/>
      <c r="E18" s="197" t="s">
        <v>381</v>
      </c>
      <c r="F18" s="197" t="s">
        <v>332</v>
      </c>
      <c r="G18" s="25" t="s">
        <v>189</v>
      </c>
      <c r="H18" s="198">
        <v>9000</v>
      </c>
      <c r="I18" s="25"/>
    </row>
    <row r="19" spans="1:9" x14ac:dyDescent="0.55000000000000004">
      <c r="A19" s="51">
        <v>13</v>
      </c>
      <c r="B19" s="49"/>
      <c r="C19" s="51"/>
      <c r="D19" s="49"/>
      <c r="E19" s="197" t="s">
        <v>382</v>
      </c>
      <c r="F19" s="197" t="s">
        <v>332</v>
      </c>
      <c r="G19" s="25" t="s">
        <v>189</v>
      </c>
      <c r="H19" s="198">
        <v>329000</v>
      </c>
      <c r="I19" s="25"/>
    </row>
    <row r="20" spans="1:9" x14ac:dyDescent="0.55000000000000004">
      <c r="A20" s="51"/>
      <c r="B20" s="49"/>
      <c r="C20" s="51"/>
      <c r="D20" s="49"/>
      <c r="E20" s="197"/>
      <c r="F20" s="197"/>
      <c r="G20" s="25" t="s">
        <v>189</v>
      </c>
      <c r="H20" s="198">
        <f>SUM(H17:H19)</f>
        <v>342990</v>
      </c>
      <c r="I20" s="25"/>
    </row>
    <row r="21" spans="1:9" x14ac:dyDescent="0.55000000000000004">
      <c r="A21" s="51">
        <v>14</v>
      </c>
      <c r="B21" s="49"/>
      <c r="C21" s="51"/>
      <c r="D21" s="49"/>
      <c r="E21" s="197" t="s">
        <v>383</v>
      </c>
      <c r="F21" s="197" t="s">
        <v>331</v>
      </c>
      <c r="G21" s="25" t="s">
        <v>189</v>
      </c>
      <c r="H21" s="198">
        <v>350000</v>
      </c>
      <c r="I21" s="25"/>
    </row>
    <row r="22" spans="1:9" x14ac:dyDescent="0.55000000000000004">
      <c r="A22" s="51"/>
      <c r="B22" s="49"/>
      <c r="C22" s="51"/>
      <c r="D22" s="49"/>
      <c r="E22" s="197"/>
      <c r="F22" s="197"/>
      <c r="G22" s="25" t="s">
        <v>189</v>
      </c>
      <c r="H22" s="198">
        <f>SUM(H21)</f>
        <v>350000</v>
      </c>
      <c r="I22" s="25"/>
    </row>
    <row r="23" spans="1:9" x14ac:dyDescent="0.55000000000000004">
      <c r="A23" s="51">
        <v>17</v>
      </c>
      <c r="B23" s="49"/>
      <c r="C23" s="51"/>
      <c r="D23" s="49"/>
      <c r="E23" s="197" t="s">
        <v>384</v>
      </c>
      <c r="F23" s="197" t="s">
        <v>402</v>
      </c>
      <c r="G23" s="25" t="s">
        <v>189</v>
      </c>
      <c r="H23" s="198">
        <v>60000</v>
      </c>
      <c r="I23" s="25"/>
    </row>
    <row r="24" spans="1:9" x14ac:dyDescent="0.55000000000000004">
      <c r="A24" s="51"/>
      <c r="B24" s="49"/>
      <c r="C24" s="51"/>
      <c r="D24" s="49"/>
      <c r="E24" s="197"/>
      <c r="F24" s="197"/>
      <c r="G24" s="25" t="s">
        <v>189</v>
      </c>
      <c r="H24" s="198">
        <f>SUM(H23)</f>
        <v>60000</v>
      </c>
      <c r="I24" s="25"/>
    </row>
    <row r="25" spans="1:9" x14ac:dyDescent="0.55000000000000004">
      <c r="A25" s="51"/>
      <c r="B25" s="49"/>
      <c r="C25" s="51"/>
      <c r="D25" s="49"/>
      <c r="E25" s="197" t="s">
        <v>385</v>
      </c>
      <c r="F25" s="197" t="s">
        <v>190</v>
      </c>
      <c r="G25" s="25" t="s">
        <v>189</v>
      </c>
      <c r="H25" s="198">
        <v>168000</v>
      </c>
      <c r="I25" s="25"/>
    </row>
    <row r="26" spans="1:9" x14ac:dyDescent="0.55000000000000004">
      <c r="A26" s="51"/>
      <c r="B26" s="49"/>
      <c r="C26" s="51"/>
      <c r="D26" s="49"/>
      <c r="E26" s="197" t="s">
        <v>763</v>
      </c>
      <c r="F26" s="197" t="s">
        <v>190</v>
      </c>
      <c r="G26" s="25" t="s">
        <v>189</v>
      </c>
      <c r="H26" s="198">
        <v>4200</v>
      </c>
      <c r="I26" s="25"/>
    </row>
    <row r="27" spans="1:9" x14ac:dyDescent="0.55000000000000004">
      <c r="A27" s="51"/>
      <c r="B27" s="49"/>
      <c r="C27" s="51"/>
      <c r="D27" s="49"/>
      <c r="E27" s="197" t="s">
        <v>763</v>
      </c>
      <c r="F27" s="197" t="s">
        <v>190</v>
      </c>
      <c r="G27" s="25" t="s">
        <v>189</v>
      </c>
      <c r="H27" s="198">
        <v>4200</v>
      </c>
      <c r="I27" s="25"/>
    </row>
    <row r="28" spans="1:9" x14ac:dyDescent="0.55000000000000004">
      <c r="A28" s="51"/>
      <c r="B28" s="49"/>
      <c r="C28" s="51"/>
      <c r="D28" s="49"/>
      <c r="E28" s="197" t="s">
        <v>386</v>
      </c>
      <c r="F28" s="197" t="s">
        <v>190</v>
      </c>
      <c r="G28" s="25" t="s">
        <v>189</v>
      </c>
      <c r="H28" s="198">
        <v>12000</v>
      </c>
      <c r="I28" s="25"/>
    </row>
    <row r="29" spans="1:9" x14ac:dyDescent="0.55000000000000004">
      <c r="A29" s="51"/>
      <c r="B29" s="49"/>
      <c r="C29" s="51"/>
      <c r="D29" s="49"/>
      <c r="E29" s="197" t="s">
        <v>387</v>
      </c>
      <c r="F29" s="197" t="s">
        <v>190</v>
      </c>
      <c r="G29" s="25" t="s">
        <v>189</v>
      </c>
      <c r="H29" s="198">
        <v>27540</v>
      </c>
      <c r="I29" s="25"/>
    </row>
    <row r="30" spans="1:9" x14ac:dyDescent="0.55000000000000004">
      <c r="A30" s="51"/>
      <c r="B30" s="49"/>
      <c r="C30" s="51"/>
      <c r="D30" s="49"/>
      <c r="E30" s="197" t="s">
        <v>388</v>
      </c>
      <c r="F30" s="197" t="s">
        <v>190</v>
      </c>
      <c r="G30" s="25" t="s">
        <v>189</v>
      </c>
      <c r="H30" s="198">
        <v>38800</v>
      </c>
      <c r="I30" s="25"/>
    </row>
    <row r="31" spans="1:9" x14ac:dyDescent="0.55000000000000004">
      <c r="A31" s="51"/>
      <c r="B31" s="49"/>
      <c r="C31" s="51"/>
      <c r="D31" s="49"/>
      <c r="E31" s="197" t="s">
        <v>389</v>
      </c>
      <c r="F31" s="197" t="s">
        <v>190</v>
      </c>
      <c r="G31" s="25" t="s">
        <v>189</v>
      </c>
      <c r="H31" s="198">
        <v>29800</v>
      </c>
      <c r="I31" s="25"/>
    </row>
    <row r="32" spans="1:9" x14ac:dyDescent="0.55000000000000004">
      <c r="A32" s="51"/>
      <c r="B32" s="49"/>
      <c r="C32" s="51"/>
      <c r="D32" s="49"/>
      <c r="E32" s="197" t="s">
        <v>405</v>
      </c>
      <c r="F32" s="197" t="s">
        <v>190</v>
      </c>
      <c r="G32" s="25" t="s">
        <v>189</v>
      </c>
      <c r="H32" s="198">
        <v>29000</v>
      </c>
      <c r="I32" s="25"/>
    </row>
    <row r="33" spans="1:9" x14ac:dyDescent="0.55000000000000004">
      <c r="A33" s="51"/>
      <c r="B33" s="49"/>
      <c r="C33" s="51"/>
      <c r="D33" s="49"/>
      <c r="E33" s="197" t="s">
        <v>406</v>
      </c>
      <c r="F33" s="197" t="s">
        <v>190</v>
      </c>
      <c r="G33" s="25" t="s">
        <v>189</v>
      </c>
      <c r="H33" s="198">
        <v>59000</v>
      </c>
      <c r="I33" s="25"/>
    </row>
    <row r="34" spans="1:9" x14ac:dyDescent="0.55000000000000004">
      <c r="A34" s="51"/>
      <c r="B34" s="49"/>
      <c r="C34" s="51"/>
      <c r="D34" s="49"/>
      <c r="E34" s="197" t="s">
        <v>407</v>
      </c>
      <c r="F34" s="197" t="s">
        <v>190</v>
      </c>
      <c r="G34" s="25" t="s">
        <v>189</v>
      </c>
      <c r="H34" s="198">
        <v>25700</v>
      </c>
      <c r="I34" s="25"/>
    </row>
    <row r="35" spans="1:9" x14ac:dyDescent="0.55000000000000004">
      <c r="A35" s="51"/>
      <c r="B35" s="49"/>
      <c r="C35" s="51"/>
      <c r="D35" s="49"/>
      <c r="E35" s="197" t="s">
        <v>329</v>
      </c>
      <c r="F35" s="197" t="s">
        <v>190</v>
      </c>
      <c r="G35" s="25" t="s">
        <v>189</v>
      </c>
      <c r="H35" s="198">
        <v>33920</v>
      </c>
      <c r="I35" s="25"/>
    </row>
    <row r="36" spans="1:9" x14ac:dyDescent="0.55000000000000004">
      <c r="A36" s="51"/>
      <c r="B36" s="49"/>
      <c r="C36" s="51"/>
      <c r="D36" s="49"/>
      <c r="E36" s="197" t="s">
        <v>390</v>
      </c>
      <c r="F36" s="197" t="s">
        <v>190</v>
      </c>
      <c r="G36" s="25" t="s">
        <v>189</v>
      </c>
      <c r="H36" s="198">
        <v>11200</v>
      </c>
      <c r="I36" s="25"/>
    </row>
    <row r="37" spans="1:9" x14ac:dyDescent="0.55000000000000004">
      <c r="A37" s="51"/>
      <c r="B37" s="49"/>
      <c r="C37" s="51"/>
      <c r="D37" s="49"/>
      <c r="E37" s="197" t="s">
        <v>391</v>
      </c>
      <c r="F37" s="197" t="s">
        <v>190</v>
      </c>
      <c r="G37" s="25" t="s">
        <v>189</v>
      </c>
      <c r="H37" s="198">
        <v>28600</v>
      </c>
      <c r="I37" s="25"/>
    </row>
    <row r="38" spans="1:9" x14ac:dyDescent="0.55000000000000004">
      <c r="A38" s="51"/>
      <c r="B38" s="49"/>
      <c r="C38" s="51"/>
      <c r="D38" s="49"/>
      <c r="E38" s="197" t="s">
        <v>392</v>
      </c>
      <c r="F38" s="197" t="s">
        <v>190</v>
      </c>
      <c r="G38" s="25" t="s">
        <v>189</v>
      </c>
      <c r="H38" s="198">
        <v>17000</v>
      </c>
      <c r="I38" s="25"/>
    </row>
    <row r="39" spans="1:9" x14ac:dyDescent="0.55000000000000004">
      <c r="A39" s="51"/>
      <c r="B39" s="49"/>
      <c r="C39" s="51"/>
      <c r="D39" s="49"/>
      <c r="E39" s="197" t="s">
        <v>393</v>
      </c>
      <c r="F39" s="197" t="s">
        <v>190</v>
      </c>
      <c r="G39" s="25" t="s">
        <v>189</v>
      </c>
      <c r="H39" s="198">
        <v>10800</v>
      </c>
      <c r="I39" s="25"/>
    </row>
    <row r="40" spans="1:9" x14ac:dyDescent="0.55000000000000004">
      <c r="A40" s="51"/>
      <c r="B40" s="49"/>
      <c r="C40" s="51"/>
      <c r="D40" s="49"/>
      <c r="E40" s="197" t="s">
        <v>394</v>
      </c>
      <c r="F40" s="197" t="s">
        <v>190</v>
      </c>
      <c r="G40" s="25" t="s">
        <v>189</v>
      </c>
      <c r="H40" s="198">
        <v>6500</v>
      </c>
      <c r="I40" s="25"/>
    </row>
    <row r="41" spans="1:9" x14ac:dyDescent="0.55000000000000004">
      <c r="A41" s="51"/>
      <c r="B41" s="49"/>
      <c r="C41" s="51"/>
      <c r="D41" s="49"/>
      <c r="E41" s="197" t="s">
        <v>395</v>
      </c>
      <c r="F41" s="197" t="s">
        <v>190</v>
      </c>
      <c r="G41" s="25" t="s">
        <v>189</v>
      </c>
      <c r="H41" s="198">
        <v>72000</v>
      </c>
      <c r="I41" s="25"/>
    </row>
    <row r="42" spans="1:9" x14ac:dyDescent="0.55000000000000004">
      <c r="A42" s="51"/>
      <c r="B42" s="49"/>
      <c r="C42" s="51"/>
      <c r="D42" s="49"/>
      <c r="E42" s="197" t="s">
        <v>396</v>
      </c>
      <c r="F42" s="197" t="s">
        <v>190</v>
      </c>
      <c r="G42" s="25" t="s">
        <v>189</v>
      </c>
      <c r="H42" s="198">
        <v>1790</v>
      </c>
      <c r="I42" s="25"/>
    </row>
    <row r="43" spans="1:9" x14ac:dyDescent="0.55000000000000004">
      <c r="A43" s="51"/>
      <c r="B43" s="49"/>
      <c r="C43" s="51"/>
      <c r="D43" s="49"/>
      <c r="E43" s="197" t="s">
        <v>764</v>
      </c>
      <c r="F43" s="197"/>
      <c r="G43" s="25"/>
      <c r="H43" s="198">
        <v>3380</v>
      </c>
      <c r="I43" s="25"/>
    </row>
    <row r="44" spans="1:9" x14ac:dyDescent="0.55000000000000004">
      <c r="A44" s="51"/>
      <c r="B44" s="49"/>
      <c r="C44" s="51"/>
      <c r="D44" s="49"/>
      <c r="E44" s="197"/>
      <c r="F44" s="197"/>
      <c r="G44" s="25"/>
      <c r="H44" s="198">
        <f>SUM(H25:H43)</f>
        <v>583430</v>
      </c>
      <c r="I44" s="25"/>
    </row>
    <row r="45" spans="1:9" x14ac:dyDescent="0.55000000000000004">
      <c r="A45" s="51"/>
      <c r="B45" s="49"/>
      <c r="C45" s="51"/>
      <c r="D45" s="49"/>
      <c r="E45" s="197" t="s">
        <v>397</v>
      </c>
      <c r="F45" s="197" t="s">
        <v>403</v>
      </c>
      <c r="G45" s="25" t="s">
        <v>189</v>
      </c>
      <c r="H45" s="198">
        <v>3000</v>
      </c>
      <c r="I45" s="25"/>
    </row>
    <row r="46" spans="1:9" x14ac:dyDescent="0.55000000000000004">
      <c r="A46" s="51"/>
      <c r="B46" s="49"/>
      <c r="C46" s="51"/>
      <c r="D46" s="49"/>
      <c r="E46" s="197" t="s">
        <v>398</v>
      </c>
      <c r="F46" s="197" t="s">
        <v>403</v>
      </c>
      <c r="G46" s="25" t="s">
        <v>189</v>
      </c>
      <c r="H46" s="198">
        <v>2400</v>
      </c>
      <c r="I46" s="25"/>
    </row>
    <row r="47" spans="1:9" x14ac:dyDescent="0.55000000000000004">
      <c r="A47" s="51"/>
      <c r="B47" s="49"/>
      <c r="C47" s="51"/>
      <c r="D47" s="49"/>
      <c r="E47" s="197"/>
      <c r="F47" s="197"/>
      <c r="G47" s="25"/>
      <c r="H47" s="198">
        <f>SUM(H45:H46)</f>
        <v>5400</v>
      </c>
      <c r="I47" s="25"/>
    </row>
    <row r="48" spans="1:9" x14ac:dyDescent="0.55000000000000004">
      <c r="A48" s="51"/>
      <c r="B48" s="49"/>
      <c r="C48" s="51"/>
      <c r="D48" s="49"/>
      <c r="E48" s="197" t="s">
        <v>399</v>
      </c>
      <c r="F48" s="197" t="s">
        <v>404</v>
      </c>
      <c r="G48" s="25" t="s">
        <v>189</v>
      </c>
      <c r="H48" s="198">
        <v>30000</v>
      </c>
      <c r="I48" s="25"/>
    </row>
    <row r="49" spans="1:9" x14ac:dyDescent="0.55000000000000004">
      <c r="A49" s="51"/>
      <c r="B49" s="49"/>
      <c r="C49" s="51"/>
      <c r="D49" s="49"/>
      <c r="E49" s="197"/>
      <c r="F49" s="197"/>
      <c r="G49" s="25" t="s">
        <v>189</v>
      </c>
      <c r="H49" s="93">
        <f>SUM(H48)</f>
        <v>30000</v>
      </c>
      <c r="I49" s="25"/>
    </row>
    <row r="50" spans="1:9" x14ac:dyDescent="0.55000000000000004">
      <c r="A50" s="51"/>
      <c r="B50" s="49"/>
      <c r="C50" s="51"/>
      <c r="D50" s="49"/>
      <c r="E50" s="197" t="s">
        <v>408</v>
      </c>
      <c r="F50" s="197" t="s">
        <v>410</v>
      </c>
      <c r="G50" s="25" t="s">
        <v>189</v>
      </c>
      <c r="H50" s="198">
        <v>153000</v>
      </c>
      <c r="I50" s="25"/>
    </row>
    <row r="51" spans="1:9" x14ac:dyDescent="0.55000000000000004">
      <c r="A51" s="51"/>
      <c r="B51" s="49"/>
      <c r="C51" s="51"/>
      <c r="D51" s="49"/>
      <c r="E51" s="197" t="s">
        <v>409</v>
      </c>
      <c r="F51" s="197" t="s">
        <v>411</v>
      </c>
      <c r="G51" s="25" t="s">
        <v>189</v>
      </c>
      <c r="H51" s="198">
        <v>2793000</v>
      </c>
      <c r="I51" s="25"/>
    </row>
    <row r="52" spans="1:9" x14ac:dyDescent="0.55000000000000004">
      <c r="A52" s="51"/>
      <c r="B52" s="49"/>
      <c r="C52" s="51"/>
      <c r="D52" s="49"/>
      <c r="E52" s="199"/>
      <c r="F52" s="199"/>
      <c r="G52" s="25" t="s">
        <v>189</v>
      </c>
      <c r="H52" s="198">
        <f>SUM(H50:H51)</f>
        <v>2946000</v>
      </c>
      <c r="I52" s="25"/>
    </row>
    <row r="53" spans="1:9" ht="24.75" thickBot="1" x14ac:dyDescent="0.6">
      <c r="A53" s="190"/>
      <c r="B53" s="191"/>
      <c r="C53" s="191"/>
      <c r="D53" s="191"/>
      <c r="E53" s="192"/>
      <c r="F53" s="191" t="s">
        <v>152</v>
      </c>
      <c r="G53" s="193"/>
      <c r="H53" s="194">
        <f>SUM(H52,H49,H47,H44,H24,H22,H20,H16,H14,H6)</f>
        <v>4568920</v>
      </c>
    </row>
    <row r="54" spans="1:9" ht="24.75" thickTop="1" x14ac:dyDescent="0.55000000000000004"/>
  </sheetData>
  <phoneticPr fontId="1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190" workbookViewId="0">
      <selection activeCell="B1" sqref="B1:B1048576"/>
    </sheetView>
  </sheetViews>
  <sheetFormatPr defaultColWidth="13.42578125" defaultRowHeight="24" x14ac:dyDescent="0.5"/>
  <cols>
    <col min="1" max="1" width="7.140625" style="254" customWidth="1"/>
    <col min="2" max="2" width="0" style="255" hidden="1" customWidth="1"/>
    <col min="3" max="3" width="13.42578125" style="255"/>
    <col min="4" max="4" width="13.42578125" style="204"/>
    <col min="5" max="5" width="35" style="204" bestFit="1" customWidth="1"/>
    <col min="6" max="6" width="13.42578125" style="204"/>
    <col min="7" max="7" width="16.140625" style="204" customWidth="1"/>
    <col min="8" max="8" width="13.42578125" style="204"/>
    <col min="9" max="9" width="36.5703125" style="204" customWidth="1"/>
    <col min="10" max="16384" width="13.42578125" style="204"/>
  </cols>
  <sheetData>
    <row r="1" spans="1:10" ht="21" customHeight="1" x14ac:dyDescent="0.5">
      <c r="A1" s="202" t="s">
        <v>412</v>
      </c>
      <c r="B1" s="203"/>
      <c r="C1" s="203"/>
      <c r="H1" s="205"/>
    </row>
    <row r="2" spans="1:10" ht="21" customHeight="1" x14ac:dyDescent="0.5">
      <c r="A2" s="206" t="s">
        <v>413</v>
      </c>
      <c r="B2" s="207"/>
      <c r="C2" s="207"/>
      <c r="D2" s="208"/>
      <c r="E2" s="208"/>
      <c r="F2" s="208"/>
      <c r="G2" s="208"/>
      <c r="H2" s="209"/>
    </row>
    <row r="3" spans="1:10" ht="21" customHeight="1" x14ac:dyDescent="0.5">
      <c r="A3" s="210" t="s">
        <v>414</v>
      </c>
      <c r="B3" s="211" t="s">
        <v>415</v>
      </c>
      <c r="C3" s="211" t="s">
        <v>415</v>
      </c>
      <c r="D3" s="212" t="s">
        <v>416</v>
      </c>
      <c r="E3" s="212" t="s">
        <v>417</v>
      </c>
      <c r="F3" s="212" t="s">
        <v>418</v>
      </c>
      <c r="G3" s="212" t="s">
        <v>419</v>
      </c>
      <c r="H3" s="212" t="s">
        <v>50</v>
      </c>
      <c r="I3" s="213" t="s">
        <v>417</v>
      </c>
      <c r="J3" s="214"/>
    </row>
    <row r="4" spans="1:10" s="222" customFormat="1" ht="21" customHeight="1" x14ac:dyDescent="0.3">
      <c r="A4" s="215">
        <v>116</v>
      </c>
      <c r="B4" s="216" t="s">
        <v>420</v>
      </c>
      <c r="C4" s="217">
        <v>41088</v>
      </c>
      <c r="D4" s="218" t="s">
        <v>421</v>
      </c>
      <c r="E4" s="219" t="s">
        <v>422</v>
      </c>
      <c r="F4" s="220" t="s">
        <v>423</v>
      </c>
      <c r="G4" s="221">
        <v>1000</v>
      </c>
      <c r="H4" s="215" t="s">
        <v>424</v>
      </c>
      <c r="I4" s="221" t="s">
        <v>191</v>
      </c>
    </row>
    <row r="5" spans="1:10" s="222" customFormat="1" ht="21" customHeight="1" x14ac:dyDescent="0.3">
      <c r="A5" s="223"/>
      <c r="B5" s="224"/>
      <c r="C5" s="225"/>
      <c r="D5" s="226"/>
      <c r="E5" s="227"/>
      <c r="F5" s="228"/>
      <c r="G5" s="229">
        <f>SUM(G4)</f>
        <v>1000</v>
      </c>
      <c r="H5" s="223"/>
      <c r="I5" s="221"/>
    </row>
    <row r="6" spans="1:10" ht="21" customHeight="1" x14ac:dyDescent="0.3">
      <c r="A6" s="215">
        <v>155</v>
      </c>
      <c r="B6" s="216" t="s">
        <v>425</v>
      </c>
      <c r="C6" s="217">
        <v>37340</v>
      </c>
      <c r="D6" s="218" t="s">
        <v>426</v>
      </c>
      <c r="E6" s="219" t="s">
        <v>427</v>
      </c>
      <c r="F6" s="220" t="s">
        <v>428</v>
      </c>
      <c r="G6" s="221">
        <v>245000</v>
      </c>
      <c r="H6" s="215" t="s">
        <v>424</v>
      </c>
      <c r="I6" s="221" t="s">
        <v>429</v>
      </c>
      <c r="J6" s="214"/>
    </row>
    <row r="7" spans="1:10" ht="21" customHeight="1" x14ac:dyDescent="0.3">
      <c r="A7" s="215">
        <v>156</v>
      </c>
      <c r="B7" s="216" t="s">
        <v>430</v>
      </c>
      <c r="C7" s="217">
        <v>37354</v>
      </c>
      <c r="D7" s="218" t="s">
        <v>431</v>
      </c>
      <c r="E7" s="219" t="s">
        <v>432</v>
      </c>
      <c r="F7" s="220" t="s">
        <v>433</v>
      </c>
      <c r="G7" s="221">
        <v>4900</v>
      </c>
      <c r="H7" s="215" t="s">
        <v>424</v>
      </c>
      <c r="I7" s="221" t="s">
        <v>429</v>
      </c>
      <c r="J7" s="214"/>
    </row>
    <row r="8" spans="1:10" s="231" customFormat="1" ht="21" customHeight="1" x14ac:dyDescent="0.3">
      <c r="A8" s="223">
        <v>133</v>
      </c>
      <c r="B8" s="224" t="s">
        <v>434</v>
      </c>
      <c r="C8" s="225">
        <v>39616</v>
      </c>
      <c r="D8" s="226" t="s">
        <v>435</v>
      </c>
      <c r="E8" s="227" t="s">
        <v>436</v>
      </c>
      <c r="F8" s="228" t="s">
        <v>437</v>
      </c>
      <c r="G8" s="229">
        <v>13700</v>
      </c>
      <c r="H8" s="223" t="s">
        <v>424</v>
      </c>
      <c r="I8" s="221" t="s">
        <v>429</v>
      </c>
      <c r="J8" s="230"/>
    </row>
    <row r="9" spans="1:10" ht="21" customHeight="1" x14ac:dyDescent="0.3">
      <c r="A9" s="215">
        <v>132</v>
      </c>
      <c r="B9" s="216" t="s">
        <v>438</v>
      </c>
      <c r="C9" s="217">
        <v>38310</v>
      </c>
      <c r="D9" s="218" t="s">
        <v>439</v>
      </c>
      <c r="E9" s="219" t="s">
        <v>440</v>
      </c>
      <c r="F9" s="220" t="s">
        <v>441</v>
      </c>
      <c r="G9" s="221">
        <v>42940</v>
      </c>
      <c r="H9" s="215" t="s">
        <v>442</v>
      </c>
      <c r="I9" s="221" t="s">
        <v>429</v>
      </c>
      <c r="J9" s="214"/>
    </row>
    <row r="10" spans="1:10" s="231" customFormat="1" ht="21" customHeight="1" x14ac:dyDescent="0.3">
      <c r="A10" s="223"/>
      <c r="B10" s="224"/>
      <c r="C10" s="225"/>
      <c r="D10" s="226"/>
      <c r="E10" s="227"/>
      <c r="F10" s="228"/>
      <c r="G10" s="229">
        <f>SUM(G6:G9)</f>
        <v>306540</v>
      </c>
      <c r="H10" s="223"/>
      <c r="I10" s="221"/>
      <c r="J10" s="230"/>
    </row>
    <row r="11" spans="1:10" ht="21" customHeight="1" x14ac:dyDescent="0.3">
      <c r="A11" s="215">
        <v>118</v>
      </c>
      <c r="B11" s="216" t="s">
        <v>443</v>
      </c>
      <c r="C11" s="217">
        <v>32577</v>
      </c>
      <c r="D11" s="218" t="s">
        <v>444</v>
      </c>
      <c r="E11" s="219" t="s">
        <v>445</v>
      </c>
      <c r="F11" s="220" t="s">
        <v>446</v>
      </c>
      <c r="G11" s="221">
        <v>1000</v>
      </c>
      <c r="H11" s="215" t="s">
        <v>424</v>
      </c>
      <c r="I11" s="221" t="s">
        <v>190</v>
      </c>
      <c r="J11" s="214"/>
    </row>
    <row r="12" spans="1:10" ht="21" customHeight="1" x14ac:dyDescent="0.3">
      <c r="A12" s="215">
        <v>119</v>
      </c>
      <c r="B12" s="216" t="s">
        <v>443</v>
      </c>
      <c r="C12" s="217">
        <v>32577</v>
      </c>
      <c r="D12" s="218" t="s">
        <v>447</v>
      </c>
      <c r="E12" s="219" t="s">
        <v>445</v>
      </c>
      <c r="F12" s="220" t="s">
        <v>446</v>
      </c>
      <c r="G12" s="221">
        <v>1000</v>
      </c>
      <c r="H12" s="215" t="s">
        <v>424</v>
      </c>
      <c r="I12" s="221" t="s">
        <v>190</v>
      </c>
      <c r="J12" s="214"/>
    </row>
    <row r="13" spans="1:10" ht="21" customHeight="1" x14ac:dyDescent="0.3">
      <c r="A13" s="215">
        <v>168</v>
      </c>
      <c r="B13" s="216" t="s">
        <v>448</v>
      </c>
      <c r="C13" s="217">
        <v>33744</v>
      </c>
      <c r="D13" s="218" t="s">
        <v>449</v>
      </c>
      <c r="E13" s="219" t="s">
        <v>450</v>
      </c>
      <c r="F13" s="220" t="s">
        <v>451</v>
      </c>
      <c r="G13" s="221">
        <v>26000</v>
      </c>
      <c r="H13" s="215" t="s">
        <v>424</v>
      </c>
      <c r="I13" s="221" t="s">
        <v>190</v>
      </c>
      <c r="J13" s="214"/>
    </row>
    <row r="14" spans="1:10" ht="21" customHeight="1" x14ac:dyDescent="0.3">
      <c r="A14" s="215">
        <v>1</v>
      </c>
      <c r="B14" s="216" t="s">
        <v>452</v>
      </c>
      <c r="C14" s="217">
        <v>33827</v>
      </c>
      <c r="D14" s="218" t="s">
        <v>453</v>
      </c>
      <c r="E14" s="219" t="s">
        <v>454</v>
      </c>
      <c r="F14" s="220" t="s">
        <v>423</v>
      </c>
      <c r="G14" s="221">
        <v>550</v>
      </c>
      <c r="H14" s="215" t="s">
        <v>424</v>
      </c>
      <c r="I14" s="221" t="s">
        <v>190</v>
      </c>
      <c r="J14" s="214"/>
    </row>
    <row r="15" spans="1:10" ht="21" customHeight="1" x14ac:dyDescent="0.3">
      <c r="A15" s="215">
        <v>157</v>
      </c>
      <c r="B15" s="216" t="s">
        <v>455</v>
      </c>
      <c r="C15" s="217">
        <v>34961</v>
      </c>
      <c r="D15" s="218" t="s">
        <v>456</v>
      </c>
      <c r="E15" s="219" t="s">
        <v>457</v>
      </c>
      <c r="F15" s="220" t="s">
        <v>458</v>
      </c>
      <c r="G15" s="221">
        <v>34500</v>
      </c>
      <c r="H15" s="215" t="s">
        <v>424</v>
      </c>
      <c r="I15" s="221" t="s">
        <v>190</v>
      </c>
      <c r="J15" s="214"/>
    </row>
    <row r="16" spans="1:10" ht="21" customHeight="1" x14ac:dyDescent="0.3">
      <c r="A16" s="215">
        <v>139</v>
      </c>
      <c r="B16" s="216" t="s">
        <v>459</v>
      </c>
      <c r="C16" s="217">
        <v>35115</v>
      </c>
      <c r="D16" s="218" t="s">
        <v>460</v>
      </c>
      <c r="E16" s="219" t="s">
        <v>461</v>
      </c>
      <c r="F16" s="220" t="s">
        <v>462</v>
      </c>
      <c r="G16" s="221">
        <v>12000</v>
      </c>
      <c r="H16" s="215" t="s">
        <v>424</v>
      </c>
      <c r="I16" s="221" t="s">
        <v>190</v>
      </c>
      <c r="J16" s="214"/>
    </row>
    <row r="17" spans="1:10" ht="21" customHeight="1" x14ac:dyDescent="0.3">
      <c r="A17" s="215">
        <v>160</v>
      </c>
      <c r="B17" s="216" t="s">
        <v>463</v>
      </c>
      <c r="C17" s="217">
        <v>35486</v>
      </c>
      <c r="D17" s="218" t="s">
        <v>464</v>
      </c>
      <c r="E17" s="219" t="s">
        <v>465</v>
      </c>
      <c r="F17" s="220" t="s">
        <v>466</v>
      </c>
      <c r="G17" s="221">
        <v>72000</v>
      </c>
      <c r="H17" s="215" t="s">
        <v>424</v>
      </c>
      <c r="I17" s="221" t="s">
        <v>190</v>
      </c>
      <c r="J17" s="214"/>
    </row>
    <row r="18" spans="1:10" ht="21" customHeight="1" x14ac:dyDescent="0.3">
      <c r="A18" s="215">
        <v>2</v>
      </c>
      <c r="B18" s="216" t="s">
        <v>467</v>
      </c>
      <c r="C18" s="217">
        <v>35597</v>
      </c>
      <c r="D18" s="218" t="s">
        <v>468</v>
      </c>
      <c r="E18" s="219" t="s">
        <v>469</v>
      </c>
      <c r="F18" s="220" t="s">
        <v>470</v>
      </c>
      <c r="G18" s="221">
        <v>850</v>
      </c>
      <c r="H18" s="215" t="s">
        <v>424</v>
      </c>
      <c r="I18" s="221" t="s">
        <v>190</v>
      </c>
      <c r="J18" s="214"/>
    </row>
    <row r="19" spans="1:10" ht="21" customHeight="1" x14ac:dyDescent="0.3">
      <c r="A19" s="215">
        <v>3</v>
      </c>
      <c r="B19" s="216" t="s">
        <v>467</v>
      </c>
      <c r="C19" s="217">
        <v>35597</v>
      </c>
      <c r="D19" s="218" t="s">
        <v>471</v>
      </c>
      <c r="E19" s="219" t="s">
        <v>469</v>
      </c>
      <c r="F19" s="220" t="s">
        <v>470</v>
      </c>
      <c r="G19" s="221">
        <v>850</v>
      </c>
      <c r="H19" s="215" t="s">
        <v>424</v>
      </c>
      <c r="I19" s="221" t="s">
        <v>190</v>
      </c>
      <c r="J19" s="214"/>
    </row>
    <row r="20" spans="1:10" ht="21" customHeight="1" x14ac:dyDescent="0.3">
      <c r="A20" s="215">
        <v>4</v>
      </c>
      <c r="B20" s="216" t="s">
        <v>467</v>
      </c>
      <c r="C20" s="217">
        <v>35597</v>
      </c>
      <c r="D20" s="218" t="s">
        <v>472</v>
      </c>
      <c r="E20" s="219" t="s">
        <v>469</v>
      </c>
      <c r="F20" s="220" t="s">
        <v>470</v>
      </c>
      <c r="G20" s="221">
        <v>850</v>
      </c>
      <c r="H20" s="215" t="s">
        <v>424</v>
      </c>
      <c r="I20" s="221" t="s">
        <v>190</v>
      </c>
      <c r="J20" s="214"/>
    </row>
    <row r="21" spans="1:10" ht="21" customHeight="1" x14ac:dyDescent="0.3">
      <c r="A21" s="215">
        <v>5</v>
      </c>
      <c r="B21" s="216" t="s">
        <v>467</v>
      </c>
      <c r="C21" s="217">
        <v>35597</v>
      </c>
      <c r="D21" s="218" t="s">
        <v>473</v>
      </c>
      <c r="E21" s="219" t="s">
        <v>469</v>
      </c>
      <c r="F21" s="220" t="s">
        <v>470</v>
      </c>
      <c r="G21" s="221">
        <v>850</v>
      </c>
      <c r="H21" s="215" t="s">
        <v>424</v>
      </c>
      <c r="I21" s="221" t="s">
        <v>190</v>
      </c>
      <c r="J21" s="214"/>
    </row>
    <row r="22" spans="1:10" ht="21" customHeight="1" x14ac:dyDescent="0.3">
      <c r="A22" s="215">
        <v>6</v>
      </c>
      <c r="B22" s="216" t="s">
        <v>467</v>
      </c>
      <c r="C22" s="217">
        <v>35597</v>
      </c>
      <c r="D22" s="218" t="s">
        <v>474</v>
      </c>
      <c r="E22" s="219" t="s">
        <v>469</v>
      </c>
      <c r="F22" s="220" t="s">
        <v>470</v>
      </c>
      <c r="G22" s="221">
        <v>850</v>
      </c>
      <c r="H22" s="215" t="s">
        <v>424</v>
      </c>
      <c r="I22" s="221" t="s">
        <v>190</v>
      </c>
      <c r="J22" s="214"/>
    </row>
    <row r="23" spans="1:10" ht="21" customHeight="1" x14ac:dyDescent="0.3">
      <c r="A23" s="215">
        <v>7</v>
      </c>
      <c r="B23" s="216" t="s">
        <v>467</v>
      </c>
      <c r="C23" s="217">
        <v>35597</v>
      </c>
      <c r="D23" s="218" t="s">
        <v>475</v>
      </c>
      <c r="E23" s="219" t="s">
        <v>469</v>
      </c>
      <c r="F23" s="220" t="s">
        <v>470</v>
      </c>
      <c r="G23" s="221">
        <v>850</v>
      </c>
      <c r="H23" s="215" t="s">
        <v>424</v>
      </c>
      <c r="I23" s="221" t="s">
        <v>190</v>
      </c>
      <c r="J23" s="214"/>
    </row>
    <row r="24" spans="1:10" ht="21" customHeight="1" x14ac:dyDescent="0.3">
      <c r="A24" s="215">
        <v>8</v>
      </c>
      <c r="B24" s="216" t="s">
        <v>467</v>
      </c>
      <c r="C24" s="217">
        <v>35597</v>
      </c>
      <c r="D24" s="218" t="s">
        <v>476</v>
      </c>
      <c r="E24" s="219" t="s">
        <v>469</v>
      </c>
      <c r="F24" s="220" t="s">
        <v>470</v>
      </c>
      <c r="G24" s="221">
        <v>850</v>
      </c>
      <c r="H24" s="215" t="s">
        <v>424</v>
      </c>
      <c r="I24" s="221" t="s">
        <v>190</v>
      </c>
      <c r="J24" s="214"/>
    </row>
    <row r="25" spans="1:10" ht="21" customHeight="1" x14ac:dyDescent="0.3">
      <c r="A25" s="215">
        <v>9</v>
      </c>
      <c r="B25" s="216" t="s">
        <v>467</v>
      </c>
      <c r="C25" s="217">
        <v>35597</v>
      </c>
      <c r="D25" s="218" t="s">
        <v>477</v>
      </c>
      <c r="E25" s="219" t="s">
        <v>469</v>
      </c>
      <c r="F25" s="220" t="s">
        <v>470</v>
      </c>
      <c r="G25" s="221">
        <v>850</v>
      </c>
      <c r="H25" s="215" t="s">
        <v>424</v>
      </c>
      <c r="I25" s="221" t="s">
        <v>190</v>
      </c>
      <c r="J25" s="214"/>
    </row>
    <row r="26" spans="1:10" ht="21" customHeight="1" x14ac:dyDescent="0.3">
      <c r="A26" s="215">
        <v>10</v>
      </c>
      <c r="B26" s="216" t="s">
        <v>467</v>
      </c>
      <c r="C26" s="217">
        <v>35597</v>
      </c>
      <c r="D26" s="218" t="s">
        <v>478</v>
      </c>
      <c r="E26" s="219" t="s">
        <v>469</v>
      </c>
      <c r="F26" s="220" t="s">
        <v>470</v>
      </c>
      <c r="G26" s="221">
        <v>850</v>
      </c>
      <c r="H26" s="215" t="s">
        <v>424</v>
      </c>
      <c r="I26" s="221" t="s">
        <v>190</v>
      </c>
      <c r="J26" s="214"/>
    </row>
    <row r="27" spans="1:10" ht="21" customHeight="1" x14ac:dyDescent="0.3">
      <c r="A27" s="215">
        <v>11</v>
      </c>
      <c r="B27" s="216" t="s">
        <v>467</v>
      </c>
      <c r="C27" s="217">
        <v>35597</v>
      </c>
      <c r="D27" s="218" t="s">
        <v>479</v>
      </c>
      <c r="E27" s="219" t="s">
        <v>469</v>
      </c>
      <c r="F27" s="220" t="s">
        <v>470</v>
      </c>
      <c r="G27" s="221">
        <v>850</v>
      </c>
      <c r="H27" s="215" t="s">
        <v>424</v>
      </c>
      <c r="I27" s="221" t="s">
        <v>190</v>
      </c>
      <c r="J27" s="214"/>
    </row>
    <row r="28" spans="1:10" ht="21" customHeight="1" x14ac:dyDescent="0.3">
      <c r="A28" s="215">
        <v>12</v>
      </c>
      <c r="B28" s="216" t="s">
        <v>467</v>
      </c>
      <c r="C28" s="217">
        <v>35597</v>
      </c>
      <c r="D28" s="218" t="s">
        <v>480</v>
      </c>
      <c r="E28" s="219" t="s">
        <v>469</v>
      </c>
      <c r="F28" s="220" t="s">
        <v>470</v>
      </c>
      <c r="G28" s="221">
        <v>850</v>
      </c>
      <c r="H28" s="215" t="s">
        <v>424</v>
      </c>
      <c r="I28" s="221" t="s">
        <v>190</v>
      </c>
      <c r="J28" s="214"/>
    </row>
    <row r="29" spans="1:10" ht="21" customHeight="1" x14ac:dyDescent="0.3">
      <c r="A29" s="215">
        <v>13</v>
      </c>
      <c r="B29" s="216" t="s">
        <v>467</v>
      </c>
      <c r="C29" s="217">
        <v>35597</v>
      </c>
      <c r="D29" s="218" t="s">
        <v>481</v>
      </c>
      <c r="E29" s="219" t="s">
        <v>469</v>
      </c>
      <c r="F29" s="220" t="s">
        <v>470</v>
      </c>
      <c r="G29" s="221">
        <v>850</v>
      </c>
      <c r="H29" s="215" t="s">
        <v>424</v>
      </c>
      <c r="I29" s="221" t="s">
        <v>190</v>
      </c>
      <c r="J29" s="214"/>
    </row>
    <row r="30" spans="1:10" ht="21" customHeight="1" x14ac:dyDescent="0.3">
      <c r="A30" s="215">
        <v>14</v>
      </c>
      <c r="B30" s="216" t="s">
        <v>467</v>
      </c>
      <c r="C30" s="217">
        <v>35597</v>
      </c>
      <c r="D30" s="218" t="s">
        <v>482</v>
      </c>
      <c r="E30" s="219" t="s">
        <v>469</v>
      </c>
      <c r="F30" s="220" t="s">
        <v>470</v>
      </c>
      <c r="G30" s="221">
        <v>850</v>
      </c>
      <c r="H30" s="215" t="s">
        <v>424</v>
      </c>
      <c r="I30" s="221" t="s">
        <v>190</v>
      </c>
      <c r="J30" s="214"/>
    </row>
    <row r="31" spans="1:10" ht="21" customHeight="1" x14ac:dyDescent="0.3">
      <c r="A31" s="215">
        <v>15</v>
      </c>
      <c r="B31" s="216" t="s">
        <v>467</v>
      </c>
      <c r="C31" s="217">
        <v>35597</v>
      </c>
      <c r="D31" s="218" t="s">
        <v>483</v>
      </c>
      <c r="E31" s="219" t="s">
        <v>469</v>
      </c>
      <c r="F31" s="220" t="s">
        <v>470</v>
      </c>
      <c r="G31" s="221">
        <v>850</v>
      </c>
      <c r="H31" s="215" t="s">
        <v>424</v>
      </c>
      <c r="I31" s="221" t="s">
        <v>190</v>
      </c>
      <c r="J31" s="214"/>
    </row>
    <row r="32" spans="1:10" ht="21" customHeight="1" x14ac:dyDescent="0.3">
      <c r="A32" s="215">
        <v>16</v>
      </c>
      <c r="B32" s="216" t="s">
        <v>467</v>
      </c>
      <c r="C32" s="217">
        <v>35597</v>
      </c>
      <c r="D32" s="218" t="s">
        <v>484</v>
      </c>
      <c r="E32" s="219" t="s">
        <v>469</v>
      </c>
      <c r="F32" s="220" t="s">
        <v>470</v>
      </c>
      <c r="G32" s="221">
        <v>850</v>
      </c>
      <c r="H32" s="215" t="s">
        <v>424</v>
      </c>
      <c r="I32" s="221" t="s">
        <v>190</v>
      </c>
      <c r="J32" s="214"/>
    </row>
    <row r="33" spans="1:10" ht="21" customHeight="1" x14ac:dyDescent="0.3">
      <c r="A33" s="215">
        <v>17</v>
      </c>
      <c r="B33" s="216" t="s">
        <v>467</v>
      </c>
      <c r="C33" s="217">
        <v>35597</v>
      </c>
      <c r="D33" s="218" t="s">
        <v>485</v>
      </c>
      <c r="E33" s="219" t="s">
        <v>469</v>
      </c>
      <c r="F33" s="220" t="s">
        <v>470</v>
      </c>
      <c r="G33" s="221">
        <v>850</v>
      </c>
      <c r="H33" s="215" t="s">
        <v>424</v>
      </c>
      <c r="I33" s="221" t="s">
        <v>190</v>
      </c>
      <c r="J33" s="214"/>
    </row>
    <row r="34" spans="1:10" ht="21" customHeight="1" x14ac:dyDescent="0.3">
      <c r="A34" s="215">
        <v>18</v>
      </c>
      <c r="B34" s="216" t="s">
        <v>467</v>
      </c>
      <c r="C34" s="217">
        <v>35597</v>
      </c>
      <c r="D34" s="218" t="s">
        <v>486</v>
      </c>
      <c r="E34" s="219" t="s">
        <v>469</v>
      </c>
      <c r="F34" s="220" t="s">
        <v>470</v>
      </c>
      <c r="G34" s="221">
        <v>850</v>
      </c>
      <c r="H34" s="215" t="s">
        <v>424</v>
      </c>
      <c r="I34" s="221" t="s">
        <v>190</v>
      </c>
      <c r="J34" s="214"/>
    </row>
    <row r="35" spans="1:10" ht="21" customHeight="1" x14ac:dyDescent="0.3">
      <c r="A35" s="215">
        <v>19</v>
      </c>
      <c r="B35" s="216" t="s">
        <v>467</v>
      </c>
      <c r="C35" s="217">
        <v>35597</v>
      </c>
      <c r="D35" s="218" t="s">
        <v>487</v>
      </c>
      <c r="E35" s="219" t="s">
        <v>469</v>
      </c>
      <c r="F35" s="220" t="s">
        <v>470</v>
      </c>
      <c r="G35" s="221">
        <v>850</v>
      </c>
      <c r="H35" s="215" t="s">
        <v>424</v>
      </c>
      <c r="I35" s="221" t="s">
        <v>190</v>
      </c>
      <c r="J35" s="214"/>
    </row>
    <row r="36" spans="1:10" ht="21" customHeight="1" x14ac:dyDescent="0.3">
      <c r="A36" s="215">
        <v>20</v>
      </c>
      <c r="B36" s="216" t="s">
        <v>467</v>
      </c>
      <c r="C36" s="217">
        <v>35597</v>
      </c>
      <c r="D36" s="218" t="s">
        <v>488</v>
      </c>
      <c r="E36" s="219" t="s">
        <v>469</v>
      </c>
      <c r="F36" s="220" t="s">
        <v>470</v>
      </c>
      <c r="G36" s="221">
        <v>850</v>
      </c>
      <c r="H36" s="215" t="s">
        <v>424</v>
      </c>
      <c r="I36" s="221" t="s">
        <v>190</v>
      </c>
      <c r="J36" s="214"/>
    </row>
    <row r="37" spans="1:10" ht="21" customHeight="1" x14ac:dyDescent="0.3">
      <c r="A37" s="215">
        <v>21</v>
      </c>
      <c r="B37" s="216" t="s">
        <v>467</v>
      </c>
      <c r="C37" s="217">
        <v>35597</v>
      </c>
      <c r="D37" s="218" t="s">
        <v>489</v>
      </c>
      <c r="E37" s="219" t="s">
        <v>469</v>
      </c>
      <c r="F37" s="220" t="s">
        <v>470</v>
      </c>
      <c r="G37" s="221">
        <v>850</v>
      </c>
      <c r="H37" s="215" t="s">
        <v>424</v>
      </c>
      <c r="I37" s="221" t="s">
        <v>190</v>
      </c>
      <c r="J37" s="214"/>
    </row>
    <row r="38" spans="1:10" ht="21" customHeight="1" x14ac:dyDescent="0.3">
      <c r="A38" s="215">
        <v>22</v>
      </c>
      <c r="B38" s="216" t="s">
        <v>467</v>
      </c>
      <c r="C38" s="217">
        <v>35597</v>
      </c>
      <c r="D38" s="218" t="s">
        <v>490</v>
      </c>
      <c r="E38" s="219" t="s">
        <v>469</v>
      </c>
      <c r="F38" s="220" t="s">
        <v>470</v>
      </c>
      <c r="G38" s="221">
        <v>850</v>
      </c>
      <c r="H38" s="215" t="s">
        <v>424</v>
      </c>
      <c r="I38" s="221" t="s">
        <v>190</v>
      </c>
      <c r="J38" s="214"/>
    </row>
    <row r="39" spans="1:10" ht="21" customHeight="1" x14ac:dyDescent="0.3">
      <c r="A39" s="215">
        <v>23</v>
      </c>
      <c r="B39" s="216" t="s">
        <v>467</v>
      </c>
      <c r="C39" s="217">
        <v>35597</v>
      </c>
      <c r="D39" s="218" t="s">
        <v>491</v>
      </c>
      <c r="E39" s="219" t="s">
        <v>469</v>
      </c>
      <c r="F39" s="220" t="s">
        <v>470</v>
      </c>
      <c r="G39" s="221">
        <v>850</v>
      </c>
      <c r="H39" s="215" t="s">
        <v>424</v>
      </c>
      <c r="I39" s="221" t="s">
        <v>190</v>
      </c>
      <c r="J39" s="214"/>
    </row>
    <row r="40" spans="1:10" ht="21" customHeight="1" x14ac:dyDescent="0.3">
      <c r="A40" s="215">
        <v>24</v>
      </c>
      <c r="B40" s="216" t="s">
        <v>467</v>
      </c>
      <c r="C40" s="217">
        <v>35597</v>
      </c>
      <c r="D40" s="218" t="s">
        <v>492</v>
      </c>
      <c r="E40" s="219" t="s">
        <v>469</v>
      </c>
      <c r="F40" s="220" t="s">
        <v>470</v>
      </c>
      <c r="G40" s="221">
        <v>850</v>
      </c>
      <c r="H40" s="215" t="s">
        <v>424</v>
      </c>
      <c r="I40" s="221" t="s">
        <v>190</v>
      </c>
      <c r="J40" s="214"/>
    </row>
    <row r="41" spans="1:10" ht="21" customHeight="1" x14ac:dyDescent="0.3">
      <c r="A41" s="215">
        <v>25</v>
      </c>
      <c r="B41" s="216" t="s">
        <v>467</v>
      </c>
      <c r="C41" s="217">
        <v>35597</v>
      </c>
      <c r="D41" s="218" t="s">
        <v>493</v>
      </c>
      <c r="E41" s="219" t="s">
        <v>469</v>
      </c>
      <c r="F41" s="220" t="s">
        <v>470</v>
      </c>
      <c r="G41" s="221">
        <v>850</v>
      </c>
      <c r="H41" s="215" t="s">
        <v>424</v>
      </c>
      <c r="I41" s="221" t="s">
        <v>190</v>
      </c>
      <c r="J41" s="214"/>
    </row>
    <row r="42" spans="1:10" ht="21" customHeight="1" x14ac:dyDescent="0.3">
      <c r="A42" s="215">
        <v>26</v>
      </c>
      <c r="B42" s="216" t="s">
        <v>467</v>
      </c>
      <c r="C42" s="217">
        <v>35597</v>
      </c>
      <c r="D42" s="218" t="s">
        <v>494</v>
      </c>
      <c r="E42" s="219" t="s">
        <v>469</v>
      </c>
      <c r="F42" s="220" t="s">
        <v>470</v>
      </c>
      <c r="G42" s="221">
        <v>850</v>
      </c>
      <c r="H42" s="215" t="s">
        <v>424</v>
      </c>
      <c r="I42" s="221" t="s">
        <v>190</v>
      </c>
      <c r="J42" s="214"/>
    </row>
    <row r="43" spans="1:10" ht="21" customHeight="1" x14ac:dyDescent="0.3">
      <c r="A43" s="215">
        <v>120</v>
      </c>
      <c r="B43" s="216" t="s">
        <v>495</v>
      </c>
      <c r="C43" s="217">
        <v>35597</v>
      </c>
      <c r="D43" s="218" t="s">
        <v>496</v>
      </c>
      <c r="E43" s="219" t="s">
        <v>497</v>
      </c>
      <c r="F43" s="220" t="s">
        <v>498</v>
      </c>
      <c r="G43" s="221">
        <v>4200</v>
      </c>
      <c r="H43" s="215" t="s">
        <v>424</v>
      </c>
      <c r="I43" s="221" t="s">
        <v>190</v>
      </c>
      <c r="J43" s="214"/>
    </row>
    <row r="44" spans="1:10" ht="21" customHeight="1" x14ac:dyDescent="0.3">
      <c r="A44" s="215">
        <v>158</v>
      </c>
      <c r="B44" s="216" t="s">
        <v>467</v>
      </c>
      <c r="C44" s="217">
        <v>35597</v>
      </c>
      <c r="D44" s="218" t="s">
        <v>499</v>
      </c>
      <c r="E44" s="219" t="s">
        <v>500</v>
      </c>
      <c r="F44" s="220" t="s">
        <v>501</v>
      </c>
      <c r="G44" s="221">
        <v>32000</v>
      </c>
      <c r="H44" s="215" t="s">
        <v>424</v>
      </c>
      <c r="I44" s="221" t="s">
        <v>190</v>
      </c>
      <c r="J44" s="214"/>
    </row>
    <row r="45" spans="1:10" ht="21" customHeight="1" x14ac:dyDescent="0.3">
      <c r="A45" s="215">
        <v>27</v>
      </c>
      <c r="B45" s="216" t="s">
        <v>502</v>
      </c>
      <c r="C45" s="217">
        <v>36390</v>
      </c>
      <c r="D45" s="218" t="s">
        <v>503</v>
      </c>
      <c r="E45" s="219" t="s">
        <v>504</v>
      </c>
      <c r="F45" s="220" t="s">
        <v>505</v>
      </c>
      <c r="G45" s="221">
        <v>600</v>
      </c>
      <c r="H45" s="215" t="s">
        <v>424</v>
      </c>
      <c r="I45" s="221" t="s">
        <v>190</v>
      </c>
      <c r="J45" s="214"/>
    </row>
    <row r="46" spans="1:10" ht="21" customHeight="1" x14ac:dyDescent="0.3">
      <c r="A46" s="215">
        <v>131</v>
      </c>
      <c r="B46" s="216" t="s">
        <v>506</v>
      </c>
      <c r="C46" s="217">
        <v>36433</v>
      </c>
      <c r="D46" s="218" t="s">
        <v>507</v>
      </c>
      <c r="E46" s="219" t="s">
        <v>508</v>
      </c>
      <c r="F46" s="220" t="s">
        <v>509</v>
      </c>
      <c r="G46" s="221">
        <v>21000</v>
      </c>
      <c r="H46" s="215" t="s">
        <v>424</v>
      </c>
      <c r="I46" s="221" t="s">
        <v>190</v>
      </c>
      <c r="J46" s="214"/>
    </row>
    <row r="47" spans="1:10" ht="21" customHeight="1" x14ac:dyDescent="0.3">
      <c r="A47" s="215">
        <v>121</v>
      </c>
      <c r="B47" s="216" t="s">
        <v>510</v>
      </c>
      <c r="C47" s="217">
        <v>36510</v>
      </c>
      <c r="D47" s="218" t="s">
        <v>511</v>
      </c>
      <c r="E47" s="219" t="s">
        <v>512</v>
      </c>
      <c r="F47" s="220" t="s">
        <v>513</v>
      </c>
      <c r="G47" s="221">
        <v>20000</v>
      </c>
      <c r="H47" s="215" t="s">
        <v>424</v>
      </c>
      <c r="I47" s="221" t="s">
        <v>190</v>
      </c>
      <c r="J47" s="214"/>
    </row>
    <row r="48" spans="1:10" ht="21" customHeight="1" x14ac:dyDescent="0.3">
      <c r="A48" s="215">
        <v>135</v>
      </c>
      <c r="B48" s="216" t="s">
        <v>514</v>
      </c>
      <c r="C48" s="217">
        <v>36644</v>
      </c>
      <c r="D48" s="218" t="s">
        <v>515</v>
      </c>
      <c r="E48" s="219" t="s">
        <v>461</v>
      </c>
      <c r="F48" s="220" t="s">
        <v>516</v>
      </c>
      <c r="G48" s="221">
        <v>10000</v>
      </c>
      <c r="H48" s="215" t="s">
        <v>424</v>
      </c>
      <c r="I48" s="221" t="s">
        <v>190</v>
      </c>
      <c r="J48" s="214"/>
    </row>
    <row r="49" spans="1:10" ht="21" customHeight="1" x14ac:dyDescent="0.3">
      <c r="A49" s="215">
        <v>136</v>
      </c>
      <c r="B49" s="216" t="s">
        <v>514</v>
      </c>
      <c r="C49" s="217">
        <v>36644</v>
      </c>
      <c r="D49" s="218" t="s">
        <v>517</v>
      </c>
      <c r="E49" s="219" t="s">
        <v>461</v>
      </c>
      <c r="F49" s="220" t="s">
        <v>518</v>
      </c>
      <c r="G49" s="221">
        <v>20000</v>
      </c>
      <c r="H49" s="215" t="s">
        <v>424</v>
      </c>
      <c r="I49" s="221" t="s">
        <v>190</v>
      </c>
      <c r="J49" s="214"/>
    </row>
    <row r="50" spans="1:10" ht="21" customHeight="1" x14ac:dyDescent="0.3">
      <c r="A50" s="215">
        <v>161</v>
      </c>
      <c r="B50" s="216" t="s">
        <v>519</v>
      </c>
      <c r="C50" s="217">
        <v>37397</v>
      </c>
      <c r="D50" s="218" t="s">
        <v>520</v>
      </c>
      <c r="E50" s="219" t="s">
        <v>521</v>
      </c>
      <c r="F50" s="220" t="s">
        <v>522</v>
      </c>
      <c r="G50" s="221">
        <v>17000</v>
      </c>
      <c r="H50" s="215" t="s">
        <v>424</v>
      </c>
      <c r="I50" s="221" t="s">
        <v>190</v>
      </c>
      <c r="J50" s="214"/>
    </row>
    <row r="51" spans="1:10" ht="21" customHeight="1" x14ac:dyDescent="0.3">
      <c r="A51" s="215">
        <v>137</v>
      </c>
      <c r="B51" s="216" t="s">
        <v>523</v>
      </c>
      <c r="C51" s="217">
        <v>37525</v>
      </c>
      <c r="D51" s="218" t="s">
        <v>524</v>
      </c>
      <c r="E51" s="219" t="s">
        <v>461</v>
      </c>
      <c r="F51" s="220" t="s">
        <v>516</v>
      </c>
      <c r="G51" s="221">
        <v>12000</v>
      </c>
      <c r="H51" s="215" t="s">
        <v>424</v>
      </c>
      <c r="I51" s="221" t="s">
        <v>190</v>
      </c>
      <c r="J51" s="214"/>
    </row>
    <row r="52" spans="1:10" ht="21" customHeight="1" x14ac:dyDescent="0.3">
      <c r="A52" s="215">
        <v>138</v>
      </c>
      <c r="B52" s="216" t="s">
        <v>523</v>
      </c>
      <c r="C52" s="217">
        <v>37525</v>
      </c>
      <c r="D52" s="218" t="s">
        <v>525</v>
      </c>
      <c r="E52" s="219" t="s">
        <v>461</v>
      </c>
      <c r="F52" s="220" t="s">
        <v>516</v>
      </c>
      <c r="G52" s="221">
        <v>12000</v>
      </c>
      <c r="H52" s="215" t="s">
        <v>424</v>
      </c>
      <c r="I52" s="221" t="s">
        <v>190</v>
      </c>
      <c r="J52" s="214"/>
    </row>
    <row r="53" spans="1:10" ht="21" customHeight="1" x14ac:dyDescent="0.3">
      <c r="A53" s="215">
        <v>163</v>
      </c>
      <c r="B53" s="216" t="s">
        <v>526</v>
      </c>
      <c r="C53" s="217">
        <v>37580</v>
      </c>
      <c r="D53" s="218" t="s">
        <v>527</v>
      </c>
      <c r="E53" s="219" t="s">
        <v>528</v>
      </c>
      <c r="F53" s="220" t="s">
        <v>529</v>
      </c>
      <c r="G53" s="221">
        <v>34906</v>
      </c>
      <c r="H53" s="215" t="s">
        <v>424</v>
      </c>
      <c r="I53" s="221" t="s">
        <v>190</v>
      </c>
      <c r="J53" s="214"/>
    </row>
    <row r="54" spans="1:10" ht="21" customHeight="1" x14ac:dyDescent="0.3">
      <c r="A54" s="215">
        <v>28</v>
      </c>
      <c r="B54" s="216" t="s">
        <v>530</v>
      </c>
      <c r="C54" s="217">
        <v>37712</v>
      </c>
      <c r="D54" s="218" t="s">
        <v>531</v>
      </c>
      <c r="E54" s="219" t="s">
        <v>532</v>
      </c>
      <c r="F54" s="220" t="s">
        <v>533</v>
      </c>
      <c r="G54" s="221">
        <v>370</v>
      </c>
      <c r="H54" s="215" t="s">
        <v>424</v>
      </c>
      <c r="I54" s="221" t="s">
        <v>190</v>
      </c>
      <c r="J54" s="214"/>
    </row>
    <row r="55" spans="1:10" ht="21" customHeight="1" x14ac:dyDescent="0.3">
      <c r="A55" s="215">
        <v>29</v>
      </c>
      <c r="B55" s="216" t="s">
        <v>530</v>
      </c>
      <c r="C55" s="217">
        <v>37712</v>
      </c>
      <c r="D55" s="218" t="s">
        <v>534</v>
      </c>
      <c r="E55" s="219" t="s">
        <v>532</v>
      </c>
      <c r="F55" s="220" t="s">
        <v>533</v>
      </c>
      <c r="G55" s="221">
        <v>370</v>
      </c>
      <c r="H55" s="215" t="s">
        <v>424</v>
      </c>
      <c r="I55" s="221" t="s">
        <v>190</v>
      </c>
      <c r="J55" s="214"/>
    </row>
    <row r="56" spans="1:10" ht="21" customHeight="1" x14ac:dyDescent="0.3">
      <c r="A56" s="215">
        <v>30</v>
      </c>
      <c r="B56" s="216" t="s">
        <v>530</v>
      </c>
      <c r="C56" s="217">
        <v>37712</v>
      </c>
      <c r="D56" s="218" t="s">
        <v>535</v>
      </c>
      <c r="E56" s="219" t="s">
        <v>532</v>
      </c>
      <c r="F56" s="220" t="s">
        <v>533</v>
      </c>
      <c r="G56" s="221">
        <v>370</v>
      </c>
      <c r="H56" s="215" t="s">
        <v>424</v>
      </c>
      <c r="I56" s="221" t="s">
        <v>190</v>
      </c>
      <c r="J56" s="214"/>
    </row>
    <row r="57" spans="1:10" ht="21" customHeight="1" x14ac:dyDescent="0.3">
      <c r="A57" s="215">
        <v>31</v>
      </c>
      <c r="B57" s="216" t="s">
        <v>530</v>
      </c>
      <c r="C57" s="217">
        <v>37712</v>
      </c>
      <c r="D57" s="218" t="s">
        <v>536</v>
      </c>
      <c r="E57" s="219" t="s">
        <v>532</v>
      </c>
      <c r="F57" s="220" t="s">
        <v>533</v>
      </c>
      <c r="G57" s="221">
        <v>370</v>
      </c>
      <c r="H57" s="215" t="s">
        <v>424</v>
      </c>
      <c r="I57" s="221" t="s">
        <v>190</v>
      </c>
      <c r="J57" s="214"/>
    </row>
    <row r="58" spans="1:10" ht="21" customHeight="1" x14ac:dyDescent="0.3">
      <c r="A58" s="215">
        <v>32</v>
      </c>
      <c r="B58" s="216" t="s">
        <v>530</v>
      </c>
      <c r="C58" s="217">
        <v>37712</v>
      </c>
      <c r="D58" s="218" t="s">
        <v>537</v>
      </c>
      <c r="E58" s="219" t="s">
        <v>532</v>
      </c>
      <c r="F58" s="220" t="s">
        <v>533</v>
      </c>
      <c r="G58" s="221">
        <v>370</v>
      </c>
      <c r="H58" s="215" t="s">
        <v>424</v>
      </c>
      <c r="I58" s="221" t="s">
        <v>190</v>
      </c>
      <c r="J58" s="214"/>
    </row>
    <row r="59" spans="1:10" ht="21" customHeight="1" x14ac:dyDescent="0.3">
      <c r="A59" s="215">
        <v>33</v>
      </c>
      <c r="B59" s="216" t="s">
        <v>530</v>
      </c>
      <c r="C59" s="217">
        <v>37712</v>
      </c>
      <c r="D59" s="218" t="s">
        <v>538</v>
      </c>
      <c r="E59" s="219" t="s">
        <v>532</v>
      </c>
      <c r="F59" s="220" t="s">
        <v>533</v>
      </c>
      <c r="G59" s="221">
        <v>370</v>
      </c>
      <c r="H59" s="215" t="s">
        <v>424</v>
      </c>
      <c r="I59" s="221" t="s">
        <v>190</v>
      </c>
      <c r="J59" s="214"/>
    </row>
    <row r="60" spans="1:10" ht="21" customHeight="1" x14ac:dyDescent="0.3">
      <c r="A60" s="215">
        <v>34</v>
      </c>
      <c r="B60" s="216" t="s">
        <v>530</v>
      </c>
      <c r="C60" s="217">
        <v>37712</v>
      </c>
      <c r="D60" s="218" t="s">
        <v>539</v>
      </c>
      <c r="E60" s="219" t="s">
        <v>532</v>
      </c>
      <c r="F60" s="220" t="s">
        <v>533</v>
      </c>
      <c r="G60" s="221">
        <v>370</v>
      </c>
      <c r="H60" s="215" t="s">
        <v>424</v>
      </c>
      <c r="I60" s="221" t="s">
        <v>190</v>
      </c>
      <c r="J60" s="214"/>
    </row>
    <row r="61" spans="1:10" ht="21" customHeight="1" x14ac:dyDescent="0.3">
      <c r="A61" s="215">
        <v>35</v>
      </c>
      <c r="B61" s="216" t="s">
        <v>530</v>
      </c>
      <c r="C61" s="217">
        <v>37712</v>
      </c>
      <c r="D61" s="218" t="s">
        <v>540</v>
      </c>
      <c r="E61" s="219" t="s">
        <v>532</v>
      </c>
      <c r="F61" s="220" t="s">
        <v>533</v>
      </c>
      <c r="G61" s="221">
        <v>370</v>
      </c>
      <c r="H61" s="215" t="s">
        <v>424</v>
      </c>
      <c r="I61" s="221" t="s">
        <v>190</v>
      </c>
      <c r="J61" s="214"/>
    </row>
    <row r="62" spans="1:10" ht="21" customHeight="1" x14ac:dyDescent="0.3">
      <c r="A62" s="215">
        <v>36</v>
      </c>
      <c r="B62" s="216" t="s">
        <v>530</v>
      </c>
      <c r="C62" s="217">
        <v>37712</v>
      </c>
      <c r="D62" s="218" t="s">
        <v>541</v>
      </c>
      <c r="E62" s="219" t="s">
        <v>532</v>
      </c>
      <c r="F62" s="220" t="s">
        <v>533</v>
      </c>
      <c r="G62" s="221">
        <v>370</v>
      </c>
      <c r="H62" s="215" t="s">
        <v>424</v>
      </c>
      <c r="I62" s="221" t="s">
        <v>190</v>
      </c>
      <c r="J62" s="214"/>
    </row>
    <row r="63" spans="1:10" ht="21" customHeight="1" x14ac:dyDescent="0.3">
      <c r="A63" s="215">
        <v>37</v>
      </c>
      <c r="B63" s="216" t="s">
        <v>530</v>
      </c>
      <c r="C63" s="217">
        <v>37712</v>
      </c>
      <c r="D63" s="218" t="s">
        <v>542</v>
      </c>
      <c r="E63" s="219" t="s">
        <v>532</v>
      </c>
      <c r="F63" s="220" t="s">
        <v>533</v>
      </c>
      <c r="G63" s="221">
        <v>370</v>
      </c>
      <c r="H63" s="215" t="s">
        <v>424</v>
      </c>
      <c r="I63" s="221" t="s">
        <v>190</v>
      </c>
      <c r="J63" s="214"/>
    </row>
    <row r="64" spans="1:10" ht="21" customHeight="1" x14ac:dyDescent="0.3">
      <c r="A64" s="215">
        <v>38</v>
      </c>
      <c r="B64" s="216" t="s">
        <v>530</v>
      </c>
      <c r="C64" s="217">
        <v>37712</v>
      </c>
      <c r="D64" s="218" t="s">
        <v>543</v>
      </c>
      <c r="E64" s="219" t="s">
        <v>532</v>
      </c>
      <c r="F64" s="220" t="s">
        <v>533</v>
      </c>
      <c r="G64" s="221">
        <v>370</v>
      </c>
      <c r="H64" s="215" t="s">
        <v>424</v>
      </c>
      <c r="I64" s="221" t="s">
        <v>190</v>
      </c>
      <c r="J64" s="214"/>
    </row>
    <row r="65" spans="1:10" ht="21" customHeight="1" x14ac:dyDescent="0.3">
      <c r="A65" s="215">
        <v>39</v>
      </c>
      <c r="B65" s="216" t="s">
        <v>530</v>
      </c>
      <c r="C65" s="217">
        <v>37712</v>
      </c>
      <c r="D65" s="218" t="s">
        <v>544</v>
      </c>
      <c r="E65" s="219" t="s">
        <v>532</v>
      </c>
      <c r="F65" s="220" t="s">
        <v>533</v>
      </c>
      <c r="G65" s="221">
        <v>370</v>
      </c>
      <c r="H65" s="215" t="s">
        <v>424</v>
      </c>
      <c r="I65" s="221" t="s">
        <v>190</v>
      </c>
      <c r="J65" s="214"/>
    </row>
    <row r="66" spans="1:10" ht="21" customHeight="1" x14ac:dyDescent="0.3">
      <c r="A66" s="215">
        <v>40</v>
      </c>
      <c r="B66" s="216" t="s">
        <v>530</v>
      </c>
      <c r="C66" s="217">
        <v>37712</v>
      </c>
      <c r="D66" s="218" t="s">
        <v>545</v>
      </c>
      <c r="E66" s="219" t="s">
        <v>532</v>
      </c>
      <c r="F66" s="220" t="s">
        <v>533</v>
      </c>
      <c r="G66" s="221">
        <v>370</v>
      </c>
      <c r="H66" s="215" t="s">
        <v>424</v>
      </c>
      <c r="I66" s="221" t="s">
        <v>190</v>
      </c>
      <c r="J66" s="214"/>
    </row>
    <row r="67" spans="1:10" ht="21" customHeight="1" x14ac:dyDescent="0.3">
      <c r="A67" s="215">
        <v>41</v>
      </c>
      <c r="B67" s="216" t="s">
        <v>530</v>
      </c>
      <c r="C67" s="217">
        <v>37712</v>
      </c>
      <c r="D67" s="218" t="s">
        <v>546</v>
      </c>
      <c r="E67" s="219" t="s">
        <v>532</v>
      </c>
      <c r="F67" s="220" t="s">
        <v>533</v>
      </c>
      <c r="G67" s="221">
        <v>370</v>
      </c>
      <c r="H67" s="215" t="s">
        <v>424</v>
      </c>
      <c r="I67" s="221" t="s">
        <v>190</v>
      </c>
      <c r="J67" s="214"/>
    </row>
    <row r="68" spans="1:10" ht="21" customHeight="1" x14ac:dyDescent="0.3">
      <c r="A68" s="215">
        <v>42</v>
      </c>
      <c r="B68" s="216" t="s">
        <v>530</v>
      </c>
      <c r="C68" s="217">
        <v>37712</v>
      </c>
      <c r="D68" s="218" t="s">
        <v>547</v>
      </c>
      <c r="E68" s="219" t="s">
        <v>532</v>
      </c>
      <c r="F68" s="220" t="s">
        <v>533</v>
      </c>
      <c r="G68" s="221">
        <v>370</v>
      </c>
      <c r="H68" s="215" t="s">
        <v>424</v>
      </c>
      <c r="I68" s="221" t="s">
        <v>190</v>
      </c>
      <c r="J68" s="214"/>
    </row>
    <row r="69" spans="1:10" ht="21" customHeight="1" x14ac:dyDescent="0.3">
      <c r="A69" s="215">
        <v>43</v>
      </c>
      <c r="B69" s="216" t="s">
        <v>530</v>
      </c>
      <c r="C69" s="217">
        <v>37712</v>
      </c>
      <c r="D69" s="218" t="s">
        <v>548</v>
      </c>
      <c r="E69" s="219" t="s">
        <v>532</v>
      </c>
      <c r="F69" s="220" t="s">
        <v>533</v>
      </c>
      <c r="G69" s="221">
        <v>370</v>
      </c>
      <c r="H69" s="215" t="s">
        <v>424</v>
      </c>
      <c r="I69" s="221" t="s">
        <v>190</v>
      </c>
      <c r="J69" s="214"/>
    </row>
    <row r="70" spans="1:10" ht="21" customHeight="1" x14ac:dyDescent="0.3">
      <c r="A70" s="215">
        <v>44</v>
      </c>
      <c r="B70" s="216" t="s">
        <v>530</v>
      </c>
      <c r="C70" s="217">
        <v>37712</v>
      </c>
      <c r="D70" s="218" t="s">
        <v>549</v>
      </c>
      <c r="E70" s="219" t="s">
        <v>532</v>
      </c>
      <c r="F70" s="220" t="s">
        <v>533</v>
      </c>
      <c r="G70" s="221">
        <v>370</v>
      </c>
      <c r="H70" s="215" t="s">
        <v>424</v>
      </c>
      <c r="I70" s="221" t="s">
        <v>190</v>
      </c>
      <c r="J70" s="214"/>
    </row>
    <row r="71" spans="1:10" ht="21" customHeight="1" x14ac:dyDescent="0.3">
      <c r="A71" s="215">
        <v>45</v>
      </c>
      <c r="B71" s="216" t="s">
        <v>530</v>
      </c>
      <c r="C71" s="217">
        <v>37712</v>
      </c>
      <c r="D71" s="218" t="s">
        <v>550</v>
      </c>
      <c r="E71" s="219" t="s">
        <v>532</v>
      </c>
      <c r="F71" s="220" t="s">
        <v>533</v>
      </c>
      <c r="G71" s="221">
        <v>370</v>
      </c>
      <c r="H71" s="215" t="s">
        <v>424</v>
      </c>
      <c r="I71" s="221" t="s">
        <v>190</v>
      </c>
      <c r="J71" s="214"/>
    </row>
    <row r="72" spans="1:10" ht="21" customHeight="1" x14ac:dyDescent="0.3">
      <c r="A72" s="215">
        <v>46</v>
      </c>
      <c r="B72" s="216" t="s">
        <v>530</v>
      </c>
      <c r="C72" s="217">
        <v>37712</v>
      </c>
      <c r="D72" s="218" t="s">
        <v>551</v>
      </c>
      <c r="E72" s="219" t="s">
        <v>532</v>
      </c>
      <c r="F72" s="220" t="s">
        <v>533</v>
      </c>
      <c r="G72" s="221">
        <v>370</v>
      </c>
      <c r="H72" s="215" t="s">
        <v>424</v>
      </c>
      <c r="I72" s="221" t="s">
        <v>190</v>
      </c>
      <c r="J72" s="214"/>
    </row>
    <row r="73" spans="1:10" ht="21" customHeight="1" x14ac:dyDescent="0.3">
      <c r="A73" s="215">
        <v>47</v>
      </c>
      <c r="B73" s="216" t="s">
        <v>530</v>
      </c>
      <c r="C73" s="217">
        <v>37712</v>
      </c>
      <c r="D73" s="218" t="s">
        <v>552</v>
      </c>
      <c r="E73" s="219" t="s">
        <v>532</v>
      </c>
      <c r="F73" s="220" t="s">
        <v>533</v>
      </c>
      <c r="G73" s="221">
        <v>370</v>
      </c>
      <c r="H73" s="215" t="s">
        <v>424</v>
      </c>
      <c r="I73" s="221" t="s">
        <v>190</v>
      </c>
      <c r="J73" s="214"/>
    </row>
    <row r="74" spans="1:10" ht="21" customHeight="1" x14ac:dyDescent="0.3">
      <c r="A74" s="215">
        <v>48</v>
      </c>
      <c r="B74" s="216" t="s">
        <v>530</v>
      </c>
      <c r="C74" s="217">
        <v>37712</v>
      </c>
      <c r="D74" s="218" t="s">
        <v>553</v>
      </c>
      <c r="E74" s="219" t="s">
        <v>532</v>
      </c>
      <c r="F74" s="220" t="s">
        <v>533</v>
      </c>
      <c r="G74" s="221">
        <v>370</v>
      </c>
      <c r="H74" s="215" t="s">
        <v>424</v>
      </c>
      <c r="I74" s="221" t="s">
        <v>190</v>
      </c>
      <c r="J74" s="214"/>
    </row>
    <row r="75" spans="1:10" ht="21" customHeight="1" x14ac:dyDescent="0.3">
      <c r="A75" s="215">
        <v>49</v>
      </c>
      <c r="B75" s="216" t="s">
        <v>530</v>
      </c>
      <c r="C75" s="217">
        <v>37712</v>
      </c>
      <c r="D75" s="218" t="s">
        <v>554</v>
      </c>
      <c r="E75" s="219" t="s">
        <v>532</v>
      </c>
      <c r="F75" s="220" t="s">
        <v>533</v>
      </c>
      <c r="G75" s="221">
        <v>370</v>
      </c>
      <c r="H75" s="215" t="s">
        <v>424</v>
      </c>
      <c r="I75" s="221" t="s">
        <v>190</v>
      </c>
      <c r="J75" s="214"/>
    </row>
    <row r="76" spans="1:10" ht="21" customHeight="1" x14ac:dyDescent="0.3">
      <c r="A76" s="215">
        <v>50</v>
      </c>
      <c r="B76" s="216" t="s">
        <v>530</v>
      </c>
      <c r="C76" s="217">
        <v>37712</v>
      </c>
      <c r="D76" s="218" t="s">
        <v>555</v>
      </c>
      <c r="E76" s="219" t="s">
        <v>532</v>
      </c>
      <c r="F76" s="220" t="s">
        <v>533</v>
      </c>
      <c r="G76" s="221">
        <v>370</v>
      </c>
      <c r="H76" s="215" t="s">
        <v>424</v>
      </c>
      <c r="I76" s="221" t="s">
        <v>190</v>
      </c>
      <c r="J76" s="214"/>
    </row>
    <row r="77" spans="1:10" ht="21" customHeight="1" x14ac:dyDescent="0.3">
      <c r="A77" s="215">
        <v>51</v>
      </c>
      <c r="B77" s="216" t="s">
        <v>530</v>
      </c>
      <c r="C77" s="217">
        <v>37712</v>
      </c>
      <c r="D77" s="218" t="s">
        <v>556</v>
      </c>
      <c r="E77" s="219" t="s">
        <v>532</v>
      </c>
      <c r="F77" s="220" t="s">
        <v>533</v>
      </c>
      <c r="G77" s="221">
        <v>370</v>
      </c>
      <c r="H77" s="215" t="s">
        <v>424</v>
      </c>
      <c r="I77" s="221" t="s">
        <v>190</v>
      </c>
      <c r="J77" s="214"/>
    </row>
    <row r="78" spans="1:10" ht="21" customHeight="1" x14ac:dyDescent="0.3">
      <c r="A78" s="215">
        <v>52</v>
      </c>
      <c r="B78" s="216" t="s">
        <v>530</v>
      </c>
      <c r="C78" s="217">
        <v>37712</v>
      </c>
      <c r="D78" s="218" t="s">
        <v>557</v>
      </c>
      <c r="E78" s="219" t="s">
        <v>532</v>
      </c>
      <c r="F78" s="220" t="s">
        <v>533</v>
      </c>
      <c r="G78" s="221">
        <v>370</v>
      </c>
      <c r="H78" s="215" t="s">
        <v>424</v>
      </c>
      <c r="I78" s="221" t="s">
        <v>190</v>
      </c>
      <c r="J78" s="214"/>
    </row>
    <row r="79" spans="1:10" ht="21" customHeight="1" x14ac:dyDescent="0.3">
      <c r="A79" s="215">
        <v>53</v>
      </c>
      <c r="B79" s="216" t="s">
        <v>530</v>
      </c>
      <c r="C79" s="217">
        <v>37712</v>
      </c>
      <c r="D79" s="218" t="s">
        <v>558</v>
      </c>
      <c r="E79" s="219" t="s">
        <v>532</v>
      </c>
      <c r="F79" s="220" t="s">
        <v>533</v>
      </c>
      <c r="G79" s="221">
        <v>370</v>
      </c>
      <c r="H79" s="215" t="s">
        <v>424</v>
      </c>
      <c r="I79" s="221" t="s">
        <v>190</v>
      </c>
      <c r="J79" s="214"/>
    </row>
    <row r="80" spans="1:10" ht="21" customHeight="1" x14ac:dyDescent="0.3">
      <c r="A80" s="215">
        <v>54</v>
      </c>
      <c r="B80" s="216" t="s">
        <v>530</v>
      </c>
      <c r="C80" s="217">
        <v>37712</v>
      </c>
      <c r="D80" s="218" t="s">
        <v>559</v>
      </c>
      <c r="E80" s="219" t="s">
        <v>532</v>
      </c>
      <c r="F80" s="220" t="s">
        <v>533</v>
      </c>
      <c r="G80" s="221">
        <v>370</v>
      </c>
      <c r="H80" s="215" t="s">
        <v>424</v>
      </c>
      <c r="I80" s="221" t="s">
        <v>190</v>
      </c>
      <c r="J80" s="214"/>
    </row>
    <row r="81" spans="1:10" ht="21" customHeight="1" x14ac:dyDescent="0.3">
      <c r="A81" s="215">
        <v>55</v>
      </c>
      <c r="B81" s="216" t="s">
        <v>530</v>
      </c>
      <c r="C81" s="217">
        <v>37712</v>
      </c>
      <c r="D81" s="218" t="s">
        <v>560</v>
      </c>
      <c r="E81" s="219" t="s">
        <v>532</v>
      </c>
      <c r="F81" s="220" t="s">
        <v>533</v>
      </c>
      <c r="G81" s="221">
        <v>370</v>
      </c>
      <c r="H81" s="215" t="s">
        <v>424</v>
      </c>
      <c r="I81" s="221" t="s">
        <v>190</v>
      </c>
      <c r="J81" s="214"/>
    </row>
    <row r="82" spans="1:10" ht="21" customHeight="1" x14ac:dyDescent="0.3">
      <c r="A82" s="215">
        <v>56</v>
      </c>
      <c r="B82" s="216" t="s">
        <v>530</v>
      </c>
      <c r="C82" s="217">
        <v>37712</v>
      </c>
      <c r="D82" s="218" t="s">
        <v>561</v>
      </c>
      <c r="E82" s="219" t="s">
        <v>532</v>
      </c>
      <c r="F82" s="220" t="s">
        <v>533</v>
      </c>
      <c r="G82" s="221">
        <v>370</v>
      </c>
      <c r="H82" s="215" t="s">
        <v>424</v>
      </c>
      <c r="I82" s="221" t="s">
        <v>190</v>
      </c>
      <c r="J82" s="214"/>
    </row>
    <row r="83" spans="1:10" ht="21" customHeight="1" x14ac:dyDescent="0.3">
      <c r="A83" s="215">
        <v>57</v>
      </c>
      <c r="B83" s="216" t="s">
        <v>530</v>
      </c>
      <c r="C83" s="217">
        <v>37712</v>
      </c>
      <c r="D83" s="218" t="s">
        <v>562</v>
      </c>
      <c r="E83" s="219" t="s">
        <v>532</v>
      </c>
      <c r="F83" s="220" t="s">
        <v>533</v>
      </c>
      <c r="G83" s="221">
        <v>370</v>
      </c>
      <c r="H83" s="215" t="s">
        <v>424</v>
      </c>
      <c r="I83" s="221" t="s">
        <v>190</v>
      </c>
      <c r="J83" s="214"/>
    </row>
    <row r="84" spans="1:10" ht="21" customHeight="1" x14ac:dyDescent="0.3">
      <c r="A84" s="215">
        <v>58</v>
      </c>
      <c r="B84" s="216" t="s">
        <v>530</v>
      </c>
      <c r="C84" s="217">
        <v>37712</v>
      </c>
      <c r="D84" s="218" t="s">
        <v>563</v>
      </c>
      <c r="E84" s="219" t="s">
        <v>532</v>
      </c>
      <c r="F84" s="220" t="s">
        <v>533</v>
      </c>
      <c r="G84" s="221">
        <v>370</v>
      </c>
      <c r="H84" s="215" t="s">
        <v>424</v>
      </c>
      <c r="I84" s="221" t="s">
        <v>190</v>
      </c>
      <c r="J84" s="214"/>
    </row>
    <row r="85" spans="1:10" ht="21" customHeight="1" x14ac:dyDescent="0.3">
      <c r="A85" s="215">
        <v>59</v>
      </c>
      <c r="B85" s="216" t="s">
        <v>530</v>
      </c>
      <c r="C85" s="217">
        <v>37712</v>
      </c>
      <c r="D85" s="218" t="s">
        <v>564</v>
      </c>
      <c r="E85" s="219" t="s">
        <v>532</v>
      </c>
      <c r="F85" s="220" t="s">
        <v>533</v>
      </c>
      <c r="G85" s="221">
        <v>370</v>
      </c>
      <c r="H85" s="215" t="s">
        <v>424</v>
      </c>
      <c r="I85" s="221" t="s">
        <v>190</v>
      </c>
      <c r="J85" s="214"/>
    </row>
    <row r="86" spans="1:10" ht="21" customHeight="1" x14ac:dyDescent="0.3">
      <c r="A86" s="215">
        <v>60</v>
      </c>
      <c r="B86" s="216" t="s">
        <v>530</v>
      </c>
      <c r="C86" s="217">
        <v>37712</v>
      </c>
      <c r="D86" s="218" t="s">
        <v>565</v>
      </c>
      <c r="E86" s="219" t="s">
        <v>532</v>
      </c>
      <c r="F86" s="220" t="s">
        <v>533</v>
      </c>
      <c r="G86" s="221">
        <v>370</v>
      </c>
      <c r="H86" s="215" t="s">
        <v>424</v>
      </c>
      <c r="I86" s="221" t="s">
        <v>190</v>
      </c>
      <c r="J86" s="214"/>
    </row>
    <row r="87" spans="1:10" ht="21" customHeight="1" x14ac:dyDescent="0.3">
      <c r="A87" s="215">
        <v>61</v>
      </c>
      <c r="B87" s="216" t="s">
        <v>530</v>
      </c>
      <c r="C87" s="217">
        <v>37712</v>
      </c>
      <c r="D87" s="218" t="s">
        <v>566</v>
      </c>
      <c r="E87" s="219" t="s">
        <v>532</v>
      </c>
      <c r="F87" s="220" t="s">
        <v>533</v>
      </c>
      <c r="G87" s="221">
        <v>370</v>
      </c>
      <c r="H87" s="215" t="s">
        <v>424</v>
      </c>
      <c r="I87" s="221" t="s">
        <v>190</v>
      </c>
      <c r="J87" s="214"/>
    </row>
    <row r="88" spans="1:10" ht="21" customHeight="1" x14ac:dyDescent="0.3">
      <c r="A88" s="215">
        <v>62</v>
      </c>
      <c r="B88" s="216" t="s">
        <v>530</v>
      </c>
      <c r="C88" s="217">
        <v>37712</v>
      </c>
      <c r="D88" s="218" t="s">
        <v>567</v>
      </c>
      <c r="E88" s="219" t="s">
        <v>532</v>
      </c>
      <c r="F88" s="220" t="s">
        <v>533</v>
      </c>
      <c r="G88" s="221">
        <v>370</v>
      </c>
      <c r="H88" s="215" t="s">
        <v>424</v>
      </c>
      <c r="I88" s="221" t="s">
        <v>190</v>
      </c>
      <c r="J88" s="214"/>
    </row>
    <row r="89" spans="1:10" ht="21" customHeight="1" x14ac:dyDescent="0.3">
      <c r="A89" s="215">
        <v>63</v>
      </c>
      <c r="B89" s="216" t="s">
        <v>530</v>
      </c>
      <c r="C89" s="217">
        <v>37712</v>
      </c>
      <c r="D89" s="218" t="s">
        <v>568</v>
      </c>
      <c r="E89" s="219" t="s">
        <v>532</v>
      </c>
      <c r="F89" s="220" t="s">
        <v>533</v>
      </c>
      <c r="G89" s="221">
        <v>370</v>
      </c>
      <c r="H89" s="215" t="s">
        <v>424</v>
      </c>
      <c r="I89" s="221" t="s">
        <v>190</v>
      </c>
      <c r="J89" s="214"/>
    </row>
    <row r="90" spans="1:10" ht="21" customHeight="1" x14ac:dyDescent="0.3">
      <c r="A90" s="215">
        <v>64</v>
      </c>
      <c r="B90" s="216" t="s">
        <v>530</v>
      </c>
      <c r="C90" s="217">
        <v>37712</v>
      </c>
      <c r="D90" s="218" t="s">
        <v>569</v>
      </c>
      <c r="E90" s="219" t="s">
        <v>532</v>
      </c>
      <c r="F90" s="220" t="s">
        <v>533</v>
      </c>
      <c r="G90" s="221">
        <v>370</v>
      </c>
      <c r="H90" s="215" t="s">
        <v>424</v>
      </c>
      <c r="I90" s="221" t="s">
        <v>190</v>
      </c>
      <c r="J90" s="214"/>
    </row>
    <row r="91" spans="1:10" ht="21" customHeight="1" x14ac:dyDescent="0.3">
      <c r="A91" s="215">
        <v>65</v>
      </c>
      <c r="B91" s="216" t="s">
        <v>530</v>
      </c>
      <c r="C91" s="217">
        <v>37712</v>
      </c>
      <c r="D91" s="218" t="s">
        <v>570</v>
      </c>
      <c r="E91" s="219" t="s">
        <v>532</v>
      </c>
      <c r="F91" s="220" t="s">
        <v>533</v>
      </c>
      <c r="G91" s="221">
        <v>370</v>
      </c>
      <c r="H91" s="215" t="s">
        <v>424</v>
      </c>
      <c r="I91" s="221" t="s">
        <v>190</v>
      </c>
      <c r="J91" s="214"/>
    </row>
    <row r="92" spans="1:10" ht="21" customHeight="1" x14ac:dyDescent="0.3">
      <c r="A92" s="215">
        <v>66</v>
      </c>
      <c r="B92" s="216" t="s">
        <v>530</v>
      </c>
      <c r="C92" s="217">
        <v>37712</v>
      </c>
      <c r="D92" s="218" t="s">
        <v>571</v>
      </c>
      <c r="E92" s="219" t="s">
        <v>532</v>
      </c>
      <c r="F92" s="220" t="s">
        <v>533</v>
      </c>
      <c r="G92" s="221">
        <v>370</v>
      </c>
      <c r="H92" s="215" t="s">
        <v>424</v>
      </c>
      <c r="I92" s="221" t="s">
        <v>190</v>
      </c>
      <c r="J92" s="214"/>
    </row>
    <row r="93" spans="1:10" ht="21" customHeight="1" x14ac:dyDescent="0.3">
      <c r="A93" s="215">
        <v>67</v>
      </c>
      <c r="B93" s="216" t="s">
        <v>530</v>
      </c>
      <c r="C93" s="217">
        <v>37712</v>
      </c>
      <c r="D93" s="218" t="s">
        <v>572</v>
      </c>
      <c r="E93" s="219" t="s">
        <v>532</v>
      </c>
      <c r="F93" s="220" t="s">
        <v>533</v>
      </c>
      <c r="G93" s="221">
        <v>370</v>
      </c>
      <c r="H93" s="215" t="s">
        <v>424</v>
      </c>
      <c r="I93" s="221" t="s">
        <v>190</v>
      </c>
      <c r="J93" s="214"/>
    </row>
    <row r="94" spans="1:10" ht="21" customHeight="1" x14ac:dyDescent="0.3">
      <c r="A94" s="215">
        <v>68</v>
      </c>
      <c r="B94" s="216" t="s">
        <v>530</v>
      </c>
      <c r="C94" s="217">
        <v>37712</v>
      </c>
      <c r="D94" s="218" t="s">
        <v>573</v>
      </c>
      <c r="E94" s="219" t="s">
        <v>532</v>
      </c>
      <c r="F94" s="220" t="s">
        <v>533</v>
      </c>
      <c r="G94" s="221">
        <v>370</v>
      </c>
      <c r="H94" s="215" t="s">
        <v>424</v>
      </c>
      <c r="I94" s="221" t="s">
        <v>190</v>
      </c>
      <c r="J94" s="214"/>
    </row>
    <row r="95" spans="1:10" ht="21" customHeight="1" x14ac:dyDescent="0.3">
      <c r="A95" s="215">
        <v>69</v>
      </c>
      <c r="B95" s="216" t="s">
        <v>530</v>
      </c>
      <c r="C95" s="217">
        <v>37712</v>
      </c>
      <c r="D95" s="218" t="s">
        <v>574</v>
      </c>
      <c r="E95" s="219" t="s">
        <v>532</v>
      </c>
      <c r="F95" s="220" t="s">
        <v>533</v>
      </c>
      <c r="G95" s="221">
        <v>370</v>
      </c>
      <c r="H95" s="215" t="s">
        <v>424</v>
      </c>
      <c r="I95" s="221" t="s">
        <v>190</v>
      </c>
      <c r="J95" s="214"/>
    </row>
    <row r="96" spans="1:10" ht="21" customHeight="1" x14ac:dyDescent="0.3">
      <c r="A96" s="215">
        <v>70</v>
      </c>
      <c r="B96" s="216" t="s">
        <v>530</v>
      </c>
      <c r="C96" s="217">
        <v>37712</v>
      </c>
      <c r="D96" s="218" t="s">
        <v>575</v>
      </c>
      <c r="E96" s="219" t="s">
        <v>532</v>
      </c>
      <c r="F96" s="220" t="s">
        <v>533</v>
      </c>
      <c r="G96" s="221">
        <v>370</v>
      </c>
      <c r="H96" s="215" t="s">
        <v>424</v>
      </c>
      <c r="I96" s="221" t="s">
        <v>190</v>
      </c>
      <c r="J96" s="214"/>
    </row>
    <row r="97" spans="1:10" ht="21" customHeight="1" x14ac:dyDescent="0.3">
      <c r="A97" s="215">
        <v>71</v>
      </c>
      <c r="B97" s="216" t="s">
        <v>530</v>
      </c>
      <c r="C97" s="217">
        <v>37712</v>
      </c>
      <c r="D97" s="218" t="s">
        <v>576</v>
      </c>
      <c r="E97" s="219" t="s">
        <v>532</v>
      </c>
      <c r="F97" s="220" t="s">
        <v>533</v>
      </c>
      <c r="G97" s="221">
        <v>370</v>
      </c>
      <c r="H97" s="215" t="s">
        <v>424</v>
      </c>
      <c r="I97" s="221" t="s">
        <v>190</v>
      </c>
      <c r="J97" s="214"/>
    </row>
    <row r="98" spans="1:10" ht="21" customHeight="1" x14ac:dyDescent="0.3">
      <c r="A98" s="215">
        <v>72</v>
      </c>
      <c r="B98" s="216" t="s">
        <v>530</v>
      </c>
      <c r="C98" s="217">
        <v>37712</v>
      </c>
      <c r="D98" s="218" t="s">
        <v>577</v>
      </c>
      <c r="E98" s="219" t="s">
        <v>532</v>
      </c>
      <c r="F98" s="220" t="s">
        <v>533</v>
      </c>
      <c r="G98" s="221">
        <v>370</v>
      </c>
      <c r="H98" s="215" t="s">
        <v>424</v>
      </c>
      <c r="I98" s="221" t="s">
        <v>190</v>
      </c>
      <c r="J98" s="214"/>
    </row>
    <row r="99" spans="1:10" ht="21" customHeight="1" x14ac:dyDescent="0.3">
      <c r="A99" s="215">
        <v>73</v>
      </c>
      <c r="B99" s="216" t="s">
        <v>530</v>
      </c>
      <c r="C99" s="217">
        <v>37712</v>
      </c>
      <c r="D99" s="218" t="s">
        <v>578</v>
      </c>
      <c r="E99" s="219" t="s">
        <v>532</v>
      </c>
      <c r="F99" s="220" t="s">
        <v>533</v>
      </c>
      <c r="G99" s="221">
        <v>370</v>
      </c>
      <c r="H99" s="215" t="s">
        <v>424</v>
      </c>
      <c r="I99" s="221" t="s">
        <v>190</v>
      </c>
      <c r="J99" s="214"/>
    </row>
    <row r="100" spans="1:10" ht="21" customHeight="1" x14ac:dyDescent="0.3">
      <c r="A100" s="215">
        <v>74</v>
      </c>
      <c r="B100" s="216" t="s">
        <v>530</v>
      </c>
      <c r="C100" s="217">
        <v>37712</v>
      </c>
      <c r="D100" s="218" t="s">
        <v>579</v>
      </c>
      <c r="E100" s="219" t="s">
        <v>532</v>
      </c>
      <c r="F100" s="220" t="s">
        <v>533</v>
      </c>
      <c r="G100" s="221">
        <v>370</v>
      </c>
      <c r="H100" s="215" t="s">
        <v>424</v>
      </c>
      <c r="I100" s="221" t="s">
        <v>190</v>
      </c>
      <c r="J100" s="214"/>
    </row>
    <row r="101" spans="1:10" ht="21" customHeight="1" x14ac:dyDescent="0.3">
      <c r="A101" s="215">
        <v>75</v>
      </c>
      <c r="B101" s="216" t="s">
        <v>530</v>
      </c>
      <c r="C101" s="217">
        <v>37712</v>
      </c>
      <c r="D101" s="218" t="s">
        <v>580</v>
      </c>
      <c r="E101" s="219" t="s">
        <v>532</v>
      </c>
      <c r="F101" s="220" t="s">
        <v>533</v>
      </c>
      <c r="G101" s="221">
        <v>370</v>
      </c>
      <c r="H101" s="215" t="s">
        <v>424</v>
      </c>
      <c r="I101" s="221" t="s">
        <v>190</v>
      </c>
      <c r="J101" s="214"/>
    </row>
    <row r="102" spans="1:10" s="232" customFormat="1" ht="21" customHeight="1" x14ac:dyDescent="0.3">
      <c r="A102" s="215">
        <v>76</v>
      </c>
      <c r="B102" s="216" t="s">
        <v>530</v>
      </c>
      <c r="C102" s="217">
        <v>37712</v>
      </c>
      <c r="D102" s="218" t="s">
        <v>581</v>
      </c>
      <c r="E102" s="219" t="s">
        <v>532</v>
      </c>
      <c r="F102" s="220" t="s">
        <v>533</v>
      </c>
      <c r="G102" s="221">
        <v>370</v>
      </c>
      <c r="H102" s="215" t="s">
        <v>424</v>
      </c>
      <c r="I102" s="221" t="s">
        <v>190</v>
      </c>
      <c r="J102" s="214"/>
    </row>
    <row r="103" spans="1:10" ht="21" customHeight="1" x14ac:dyDescent="0.3">
      <c r="A103" s="215">
        <v>77</v>
      </c>
      <c r="B103" s="216" t="s">
        <v>530</v>
      </c>
      <c r="C103" s="217">
        <v>37712</v>
      </c>
      <c r="D103" s="218" t="s">
        <v>582</v>
      </c>
      <c r="E103" s="219" t="s">
        <v>532</v>
      </c>
      <c r="F103" s="220" t="s">
        <v>533</v>
      </c>
      <c r="G103" s="221">
        <v>370</v>
      </c>
      <c r="H103" s="215" t="s">
        <v>424</v>
      </c>
      <c r="I103" s="221" t="s">
        <v>190</v>
      </c>
      <c r="J103" s="214"/>
    </row>
    <row r="104" spans="1:10" ht="21" customHeight="1" x14ac:dyDescent="0.3">
      <c r="A104" s="215">
        <v>78</v>
      </c>
      <c r="B104" s="216" t="s">
        <v>530</v>
      </c>
      <c r="C104" s="217">
        <v>37712</v>
      </c>
      <c r="D104" s="218" t="s">
        <v>583</v>
      </c>
      <c r="E104" s="219" t="s">
        <v>532</v>
      </c>
      <c r="F104" s="220" t="s">
        <v>533</v>
      </c>
      <c r="G104" s="221">
        <v>370</v>
      </c>
      <c r="H104" s="215" t="s">
        <v>424</v>
      </c>
      <c r="I104" s="221" t="s">
        <v>190</v>
      </c>
      <c r="J104" s="214"/>
    </row>
    <row r="105" spans="1:10" ht="21" customHeight="1" x14ac:dyDescent="0.3">
      <c r="A105" s="215">
        <v>79</v>
      </c>
      <c r="B105" s="216" t="s">
        <v>530</v>
      </c>
      <c r="C105" s="217">
        <v>37712</v>
      </c>
      <c r="D105" s="218" t="s">
        <v>584</v>
      </c>
      <c r="E105" s="219" t="s">
        <v>532</v>
      </c>
      <c r="F105" s="220" t="s">
        <v>533</v>
      </c>
      <c r="G105" s="221">
        <v>370</v>
      </c>
      <c r="H105" s="215" t="s">
        <v>424</v>
      </c>
      <c r="I105" s="221" t="s">
        <v>190</v>
      </c>
      <c r="J105" s="214"/>
    </row>
    <row r="106" spans="1:10" ht="21" customHeight="1" x14ac:dyDescent="0.3">
      <c r="A106" s="215">
        <v>80</v>
      </c>
      <c r="B106" s="216" t="s">
        <v>530</v>
      </c>
      <c r="C106" s="217">
        <v>37712</v>
      </c>
      <c r="D106" s="218" t="s">
        <v>585</v>
      </c>
      <c r="E106" s="219" t="s">
        <v>532</v>
      </c>
      <c r="F106" s="220" t="s">
        <v>533</v>
      </c>
      <c r="G106" s="221">
        <v>370</v>
      </c>
      <c r="H106" s="215" t="s">
        <v>424</v>
      </c>
      <c r="I106" s="221" t="s">
        <v>190</v>
      </c>
      <c r="J106" s="214"/>
    </row>
    <row r="107" spans="1:10" ht="21" customHeight="1" x14ac:dyDescent="0.3">
      <c r="A107" s="215">
        <v>81</v>
      </c>
      <c r="B107" s="216" t="s">
        <v>530</v>
      </c>
      <c r="C107" s="217">
        <v>37712</v>
      </c>
      <c r="D107" s="218" t="s">
        <v>586</v>
      </c>
      <c r="E107" s="219" t="s">
        <v>532</v>
      </c>
      <c r="F107" s="220" t="s">
        <v>533</v>
      </c>
      <c r="G107" s="221">
        <v>370</v>
      </c>
      <c r="H107" s="215" t="s">
        <v>424</v>
      </c>
      <c r="I107" s="221" t="s">
        <v>190</v>
      </c>
      <c r="J107" s="214"/>
    </row>
    <row r="108" spans="1:10" ht="21" customHeight="1" x14ac:dyDescent="0.3">
      <c r="A108" s="215">
        <v>82</v>
      </c>
      <c r="B108" s="216" t="s">
        <v>530</v>
      </c>
      <c r="C108" s="217">
        <v>37712</v>
      </c>
      <c r="D108" s="218" t="s">
        <v>587</v>
      </c>
      <c r="E108" s="219" t="s">
        <v>532</v>
      </c>
      <c r="F108" s="220" t="s">
        <v>533</v>
      </c>
      <c r="G108" s="221">
        <v>370</v>
      </c>
      <c r="H108" s="215" t="s">
        <v>424</v>
      </c>
      <c r="I108" s="221" t="s">
        <v>190</v>
      </c>
      <c r="J108" s="214"/>
    </row>
    <row r="109" spans="1:10" ht="21" customHeight="1" x14ac:dyDescent="0.3">
      <c r="A109" s="215">
        <v>83</v>
      </c>
      <c r="B109" s="216" t="s">
        <v>530</v>
      </c>
      <c r="C109" s="217">
        <v>37712</v>
      </c>
      <c r="D109" s="218" t="s">
        <v>588</v>
      </c>
      <c r="E109" s="219" t="s">
        <v>532</v>
      </c>
      <c r="F109" s="220" t="s">
        <v>533</v>
      </c>
      <c r="G109" s="221">
        <v>370</v>
      </c>
      <c r="H109" s="215" t="s">
        <v>424</v>
      </c>
      <c r="I109" s="221" t="s">
        <v>190</v>
      </c>
      <c r="J109" s="214"/>
    </row>
    <row r="110" spans="1:10" ht="21" customHeight="1" x14ac:dyDescent="0.3">
      <c r="A110" s="215">
        <v>84</v>
      </c>
      <c r="B110" s="216" t="s">
        <v>530</v>
      </c>
      <c r="C110" s="217">
        <v>37712</v>
      </c>
      <c r="D110" s="218" t="s">
        <v>589</v>
      </c>
      <c r="E110" s="219" t="s">
        <v>532</v>
      </c>
      <c r="F110" s="220" t="s">
        <v>533</v>
      </c>
      <c r="G110" s="221">
        <v>370</v>
      </c>
      <c r="H110" s="215" t="s">
        <v>424</v>
      </c>
      <c r="I110" s="221" t="s">
        <v>190</v>
      </c>
      <c r="J110" s="214"/>
    </row>
    <row r="111" spans="1:10" ht="21" customHeight="1" x14ac:dyDescent="0.3">
      <c r="A111" s="215">
        <v>85</v>
      </c>
      <c r="B111" s="216" t="s">
        <v>530</v>
      </c>
      <c r="C111" s="217">
        <v>37712</v>
      </c>
      <c r="D111" s="218" t="s">
        <v>590</v>
      </c>
      <c r="E111" s="219" t="s">
        <v>532</v>
      </c>
      <c r="F111" s="220" t="s">
        <v>533</v>
      </c>
      <c r="G111" s="221">
        <v>370</v>
      </c>
      <c r="H111" s="215" t="s">
        <v>424</v>
      </c>
      <c r="I111" s="221" t="s">
        <v>190</v>
      </c>
      <c r="J111" s="214"/>
    </row>
    <row r="112" spans="1:10" ht="21" customHeight="1" x14ac:dyDescent="0.3">
      <c r="A112" s="215">
        <v>86</v>
      </c>
      <c r="B112" s="216" t="s">
        <v>530</v>
      </c>
      <c r="C112" s="217">
        <v>37712</v>
      </c>
      <c r="D112" s="218" t="s">
        <v>591</v>
      </c>
      <c r="E112" s="219" t="s">
        <v>532</v>
      </c>
      <c r="F112" s="220" t="s">
        <v>533</v>
      </c>
      <c r="G112" s="221">
        <v>370</v>
      </c>
      <c r="H112" s="215" t="s">
        <v>424</v>
      </c>
      <c r="I112" s="221" t="s">
        <v>190</v>
      </c>
      <c r="J112" s="214"/>
    </row>
    <row r="113" spans="1:10" ht="21" customHeight="1" x14ac:dyDescent="0.3">
      <c r="A113" s="215">
        <v>87</v>
      </c>
      <c r="B113" s="216" t="s">
        <v>530</v>
      </c>
      <c r="C113" s="217">
        <v>37712</v>
      </c>
      <c r="D113" s="218" t="s">
        <v>592</v>
      </c>
      <c r="E113" s="219" t="s">
        <v>532</v>
      </c>
      <c r="F113" s="220" t="s">
        <v>533</v>
      </c>
      <c r="G113" s="221">
        <v>370</v>
      </c>
      <c r="H113" s="215" t="s">
        <v>424</v>
      </c>
      <c r="I113" s="221" t="s">
        <v>190</v>
      </c>
      <c r="J113" s="214"/>
    </row>
    <row r="114" spans="1:10" ht="21" customHeight="1" x14ac:dyDescent="0.3">
      <c r="A114" s="215">
        <v>88</v>
      </c>
      <c r="B114" s="216" t="s">
        <v>530</v>
      </c>
      <c r="C114" s="217">
        <v>37712</v>
      </c>
      <c r="D114" s="218" t="s">
        <v>593</v>
      </c>
      <c r="E114" s="219" t="s">
        <v>532</v>
      </c>
      <c r="F114" s="220" t="s">
        <v>533</v>
      </c>
      <c r="G114" s="221">
        <v>370</v>
      </c>
      <c r="H114" s="215" t="s">
        <v>424</v>
      </c>
      <c r="I114" s="221" t="s">
        <v>190</v>
      </c>
      <c r="J114" s="214"/>
    </row>
    <row r="115" spans="1:10" ht="21" customHeight="1" x14ac:dyDescent="0.3">
      <c r="A115" s="215">
        <v>89</v>
      </c>
      <c r="B115" s="216" t="s">
        <v>530</v>
      </c>
      <c r="C115" s="217">
        <v>37712</v>
      </c>
      <c r="D115" s="218" t="s">
        <v>594</v>
      </c>
      <c r="E115" s="219" t="s">
        <v>532</v>
      </c>
      <c r="F115" s="220" t="s">
        <v>533</v>
      </c>
      <c r="G115" s="221">
        <v>370</v>
      </c>
      <c r="H115" s="215" t="s">
        <v>424</v>
      </c>
      <c r="I115" s="221" t="s">
        <v>190</v>
      </c>
      <c r="J115" s="214"/>
    </row>
    <row r="116" spans="1:10" ht="21" customHeight="1" x14ac:dyDescent="0.3">
      <c r="A116" s="215">
        <v>90</v>
      </c>
      <c r="B116" s="216" t="s">
        <v>530</v>
      </c>
      <c r="C116" s="217">
        <v>37712</v>
      </c>
      <c r="D116" s="218" t="s">
        <v>595</v>
      </c>
      <c r="E116" s="219" t="s">
        <v>532</v>
      </c>
      <c r="F116" s="220" t="s">
        <v>533</v>
      </c>
      <c r="G116" s="221">
        <v>370</v>
      </c>
      <c r="H116" s="215" t="s">
        <v>424</v>
      </c>
      <c r="I116" s="221" t="s">
        <v>190</v>
      </c>
      <c r="J116" s="214"/>
    </row>
    <row r="117" spans="1:10" ht="21" customHeight="1" x14ac:dyDescent="0.3">
      <c r="A117" s="215">
        <v>91</v>
      </c>
      <c r="B117" s="216" t="s">
        <v>530</v>
      </c>
      <c r="C117" s="217">
        <v>37712</v>
      </c>
      <c r="D117" s="218" t="s">
        <v>596</v>
      </c>
      <c r="E117" s="219" t="s">
        <v>532</v>
      </c>
      <c r="F117" s="220" t="s">
        <v>533</v>
      </c>
      <c r="G117" s="221">
        <v>370</v>
      </c>
      <c r="H117" s="215" t="s">
        <v>424</v>
      </c>
      <c r="I117" s="221" t="s">
        <v>190</v>
      </c>
      <c r="J117" s="214"/>
    </row>
    <row r="118" spans="1:10" ht="21" customHeight="1" x14ac:dyDescent="0.3">
      <c r="A118" s="215">
        <v>92</v>
      </c>
      <c r="B118" s="216" t="s">
        <v>530</v>
      </c>
      <c r="C118" s="217">
        <v>37712</v>
      </c>
      <c r="D118" s="218" t="s">
        <v>597</v>
      </c>
      <c r="E118" s="219" t="s">
        <v>532</v>
      </c>
      <c r="F118" s="220" t="s">
        <v>533</v>
      </c>
      <c r="G118" s="221">
        <v>370</v>
      </c>
      <c r="H118" s="215" t="s">
        <v>424</v>
      </c>
      <c r="I118" s="221" t="s">
        <v>190</v>
      </c>
      <c r="J118" s="214"/>
    </row>
    <row r="119" spans="1:10" s="232" customFormat="1" ht="21" customHeight="1" x14ac:dyDescent="0.3">
      <c r="A119" s="215">
        <v>93</v>
      </c>
      <c r="B119" s="216" t="s">
        <v>530</v>
      </c>
      <c r="C119" s="217">
        <v>37712</v>
      </c>
      <c r="D119" s="218" t="s">
        <v>598</v>
      </c>
      <c r="E119" s="219" t="s">
        <v>532</v>
      </c>
      <c r="F119" s="220" t="s">
        <v>533</v>
      </c>
      <c r="G119" s="221">
        <v>370</v>
      </c>
      <c r="H119" s="215" t="s">
        <v>424</v>
      </c>
      <c r="I119" s="221" t="s">
        <v>190</v>
      </c>
      <c r="J119" s="214"/>
    </row>
    <row r="120" spans="1:10" ht="21" customHeight="1" x14ac:dyDescent="0.3">
      <c r="A120" s="215">
        <v>94</v>
      </c>
      <c r="B120" s="216" t="s">
        <v>530</v>
      </c>
      <c r="C120" s="217">
        <v>37712</v>
      </c>
      <c r="D120" s="218" t="s">
        <v>599</v>
      </c>
      <c r="E120" s="219" t="s">
        <v>532</v>
      </c>
      <c r="F120" s="220" t="s">
        <v>533</v>
      </c>
      <c r="G120" s="221">
        <v>370</v>
      </c>
      <c r="H120" s="215" t="s">
        <v>424</v>
      </c>
      <c r="I120" s="221" t="s">
        <v>190</v>
      </c>
      <c r="J120" s="214"/>
    </row>
    <row r="121" spans="1:10" ht="21" customHeight="1" x14ac:dyDescent="0.3">
      <c r="A121" s="215">
        <v>95</v>
      </c>
      <c r="B121" s="216" t="s">
        <v>530</v>
      </c>
      <c r="C121" s="217">
        <v>37712</v>
      </c>
      <c r="D121" s="218" t="s">
        <v>600</v>
      </c>
      <c r="E121" s="219" t="s">
        <v>532</v>
      </c>
      <c r="F121" s="220" t="s">
        <v>533</v>
      </c>
      <c r="G121" s="221">
        <v>370</v>
      </c>
      <c r="H121" s="215" t="s">
        <v>424</v>
      </c>
      <c r="I121" s="221" t="s">
        <v>190</v>
      </c>
      <c r="J121" s="214"/>
    </row>
    <row r="122" spans="1:10" ht="21" customHeight="1" x14ac:dyDescent="0.3">
      <c r="A122" s="215">
        <v>96</v>
      </c>
      <c r="B122" s="216" t="s">
        <v>530</v>
      </c>
      <c r="C122" s="217">
        <v>37712</v>
      </c>
      <c r="D122" s="218" t="s">
        <v>601</v>
      </c>
      <c r="E122" s="219" t="s">
        <v>532</v>
      </c>
      <c r="F122" s="220" t="s">
        <v>533</v>
      </c>
      <c r="G122" s="221">
        <v>370</v>
      </c>
      <c r="H122" s="215" t="s">
        <v>442</v>
      </c>
      <c r="I122" s="221" t="s">
        <v>190</v>
      </c>
      <c r="J122" s="214"/>
    </row>
    <row r="123" spans="1:10" ht="21" customHeight="1" x14ac:dyDescent="0.3">
      <c r="A123" s="215">
        <v>97</v>
      </c>
      <c r="B123" s="216" t="s">
        <v>530</v>
      </c>
      <c r="C123" s="217">
        <v>37712</v>
      </c>
      <c r="D123" s="218" t="s">
        <v>602</v>
      </c>
      <c r="E123" s="219" t="s">
        <v>532</v>
      </c>
      <c r="F123" s="220" t="s">
        <v>533</v>
      </c>
      <c r="G123" s="221">
        <v>370</v>
      </c>
      <c r="H123" s="215" t="s">
        <v>424</v>
      </c>
      <c r="I123" s="221" t="s">
        <v>190</v>
      </c>
      <c r="J123" s="214"/>
    </row>
    <row r="124" spans="1:10" ht="21" customHeight="1" x14ac:dyDescent="0.3">
      <c r="A124" s="215">
        <v>98</v>
      </c>
      <c r="B124" s="216" t="s">
        <v>530</v>
      </c>
      <c r="C124" s="217">
        <v>37712</v>
      </c>
      <c r="D124" s="218" t="s">
        <v>603</v>
      </c>
      <c r="E124" s="219" t="s">
        <v>532</v>
      </c>
      <c r="F124" s="220" t="s">
        <v>533</v>
      </c>
      <c r="G124" s="221">
        <v>370</v>
      </c>
      <c r="H124" s="215" t="s">
        <v>424</v>
      </c>
      <c r="I124" s="221" t="s">
        <v>190</v>
      </c>
      <c r="J124" s="214"/>
    </row>
    <row r="125" spans="1:10" ht="21" customHeight="1" x14ac:dyDescent="0.3">
      <c r="A125" s="215">
        <v>99</v>
      </c>
      <c r="B125" s="216" t="s">
        <v>530</v>
      </c>
      <c r="C125" s="217">
        <v>37712</v>
      </c>
      <c r="D125" s="218" t="s">
        <v>604</v>
      </c>
      <c r="E125" s="219" t="s">
        <v>532</v>
      </c>
      <c r="F125" s="220" t="s">
        <v>533</v>
      </c>
      <c r="G125" s="221">
        <v>370</v>
      </c>
      <c r="H125" s="215" t="s">
        <v>424</v>
      </c>
      <c r="I125" s="221" t="s">
        <v>190</v>
      </c>
      <c r="J125" s="214"/>
    </row>
    <row r="126" spans="1:10" ht="21" customHeight="1" x14ac:dyDescent="0.3">
      <c r="A126" s="215">
        <v>100</v>
      </c>
      <c r="B126" s="216" t="s">
        <v>530</v>
      </c>
      <c r="C126" s="217">
        <v>37712</v>
      </c>
      <c r="D126" s="218" t="s">
        <v>605</v>
      </c>
      <c r="E126" s="219" t="s">
        <v>532</v>
      </c>
      <c r="F126" s="220" t="s">
        <v>533</v>
      </c>
      <c r="G126" s="221">
        <v>370</v>
      </c>
      <c r="H126" s="215" t="s">
        <v>424</v>
      </c>
      <c r="I126" s="221" t="s">
        <v>190</v>
      </c>
      <c r="J126" s="214"/>
    </row>
    <row r="127" spans="1:10" ht="21" customHeight="1" x14ac:dyDescent="0.3">
      <c r="A127" s="215">
        <v>101</v>
      </c>
      <c r="B127" s="216" t="s">
        <v>530</v>
      </c>
      <c r="C127" s="217">
        <v>37712</v>
      </c>
      <c r="D127" s="218" t="s">
        <v>606</v>
      </c>
      <c r="E127" s="219" t="s">
        <v>532</v>
      </c>
      <c r="F127" s="220" t="s">
        <v>533</v>
      </c>
      <c r="G127" s="221">
        <v>370</v>
      </c>
      <c r="H127" s="215" t="s">
        <v>424</v>
      </c>
      <c r="I127" s="221" t="s">
        <v>190</v>
      </c>
      <c r="J127" s="214"/>
    </row>
    <row r="128" spans="1:10" ht="21" customHeight="1" x14ac:dyDescent="0.3">
      <c r="A128" s="215">
        <v>102</v>
      </c>
      <c r="B128" s="216" t="s">
        <v>530</v>
      </c>
      <c r="C128" s="217">
        <v>37712</v>
      </c>
      <c r="D128" s="218" t="s">
        <v>607</v>
      </c>
      <c r="E128" s="219" t="s">
        <v>532</v>
      </c>
      <c r="F128" s="220" t="s">
        <v>533</v>
      </c>
      <c r="G128" s="221">
        <v>370</v>
      </c>
      <c r="H128" s="215" t="s">
        <v>424</v>
      </c>
      <c r="I128" s="221" t="s">
        <v>190</v>
      </c>
      <c r="J128" s="214"/>
    </row>
    <row r="129" spans="1:10" ht="21" customHeight="1" x14ac:dyDescent="0.3">
      <c r="A129" s="215">
        <v>103</v>
      </c>
      <c r="B129" s="216" t="s">
        <v>530</v>
      </c>
      <c r="C129" s="217">
        <v>37712</v>
      </c>
      <c r="D129" s="218" t="s">
        <v>608</v>
      </c>
      <c r="E129" s="219" t="s">
        <v>532</v>
      </c>
      <c r="F129" s="220" t="s">
        <v>533</v>
      </c>
      <c r="G129" s="221">
        <v>370</v>
      </c>
      <c r="H129" s="215" t="s">
        <v>424</v>
      </c>
      <c r="I129" s="221" t="s">
        <v>190</v>
      </c>
      <c r="J129" s="214"/>
    </row>
    <row r="130" spans="1:10" ht="21" customHeight="1" x14ac:dyDescent="0.3">
      <c r="A130" s="215">
        <v>104</v>
      </c>
      <c r="B130" s="216" t="s">
        <v>530</v>
      </c>
      <c r="C130" s="217">
        <v>37712</v>
      </c>
      <c r="D130" s="218" t="s">
        <v>609</v>
      </c>
      <c r="E130" s="219" t="s">
        <v>532</v>
      </c>
      <c r="F130" s="220" t="s">
        <v>533</v>
      </c>
      <c r="G130" s="221">
        <v>370</v>
      </c>
      <c r="H130" s="215" t="s">
        <v>424</v>
      </c>
      <c r="I130" s="221" t="s">
        <v>190</v>
      </c>
      <c r="J130" s="214"/>
    </row>
    <row r="131" spans="1:10" ht="21" customHeight="1" x14ac:dyDescent="0.3">
      <c r="A131" s="215">
        <v>105</v>
      </c>
      <c r="B131" s="216" t="s">
        <v>530</v>
      </c>
      <c r="C131" s="217">
        <v>37712</v>
      </c>
      <c r="D131" s="218" t="s">
        <v>610</v>
      </c>
      <c r="E131" s="219" t="s">
        <v>532</v>
      </c>
      <c r="F131" s="220" t="s">
        <v>533</v>
      </c>
      <c r="G131" s="221">
        <v>370</v>
      </c>
      <c r="H131" s="215" t="s">
        <v>424</v>
      </c>
      <c r="I131" s="221" t="s">
        <v>190</v>
      </c>
      <c r="J131" s="214"/>
    </row>
    <row r="132" spans="1:10" ht="21" customHeight="1" x14ac:dyDescent="0.3">
      <c r="A132" s="215">
        <v>106</v>
      </c>
      <c r="B132" s="216" t="s">
        <v>530</v>
      </c>
      <c r="C132" s="217">
        <v>37712</v>
      </c>
      <c r="D132" s="218" t="s">
        <v>611</v>
      </c>
      <c r="E132" s="219" t="s">
        <v>532</v>
      </c>
      <c r="F132" s="220" t="s">
        <v>533</v>
      </c>
      <c r="G132" s="221">
        <v>370</v>
      </c>
      <c r="H132" s="215" t="s">
        <v>424</v>
      </c>
      <c r="I132" s="221" t="s">
        <v>190</v>
      </c>
      <c r="J132" s="214"/>
    </row>
    <row r="133" spans="1:10" ht="21" customHeight="1" x14ac:dyDescent="0.3">
      <c r="A133" s="215">
        <v>107</v>
      </c>
      <c r="B133" s="216" t="s">
        <v>530</v>
      </c>
      <c r="C133" s="217">
        <v>37712</v>
      </c>
      <c r="D133" s="218" t="s">
        <v>612</v>
      </c>
      <c r="E133" s="219" t="s">
        <v>532</v>
      </c>
      <c r="F133" s="220" t="s">
        <v>533</v>
      </c>
      <c r="G133" s="221">
        <v>370</v>
      </c>
      <c r="H133" s="215" t="s">
        <v>424</v>
      </c>
      <c r="I133" s="221" t="s">
        <v>190</v>
      </c>
      <c r="J133" s="214"/>
    </row>
    <row r="134" spans="1:10" ht="21" customHeight="1" x14ac:dyDescent="0.3">
      <c r="A134" s="215">
        <v>108</v>
      </c>
      <c r="B134" s="216" t="s">
        <v>530</v>
      </c>
      <c r="C134" s="217">
        <v>37712</v>
      </c>
      <c r="D134" s="218" t="s">
        <v>613</v>
      </c>
      <c r="E134" s="219" t="s">
        <v>532</v>
      </c>
      <c r="F134" s="220" t="s">
        <v>533</v>
      </c>
      <c r="G134" s="221">
        <v>370</v>
      </c>
      <c r="H134" s="215" t="s">
        <v>424</v>
      </c>
      <c r="I134" s="221" t="s">
        <v>190</v>
      </c>
      <c r="J134" s="214"/>
    </row>
    <row r="135" spans="1:10" ht="21" customHeight="1" x14ac:dyDescent="0.3">
      <c r="A135" s="215">
        <v>109</v>
      </c>
      <c r="B135" s="216" t="s">
        <v>530</v>
      </c>
      <c r="C135" s="217">
        <v>37712</v>
      </c>
      <c r="D135" s="218" t="s">
        <v>614</v>
      </c>
      <c r="E135" s="219" t="s">
        <v>532</v>
      </c>
      <c r="F135" s="220" t="s">
        <v>533</v>
      </c>
      <c r="G135" s="221">
        <v>370</v>
      </c>
      <c r="H135" s="215" t="s">
        <v>424</v>
      </c>
      <c r="I135" s="221" t="s">
        <v>190</v>
      </c>
      <c r="J135" s="214"/>
    </row>
    <row r="136" spans="1:10" ht="21" customHeight="1" x14ac:dyDescent="0.3">
      <c r="A136" s="215">
        <v>110</v>
      </c>
      <c r="B136" s="216" t="s">
        <v>530</v>
      </c>
      <c r="C136" s="217">
        <v>37712</v>
      </c>
      <c r="D136" s="218" t="s">
        <v>615</v>
      </c>
      <c r="E136" s="219" t="s">
        <v>532</v>
      </c>
      <c r="F136" s="220" t="s">
        <v>533</v>
      </c>
      <c r="G136" s="221">
        <v>370</v>
      </c>
      <c r="H136" s="215" t="s">
        <v>424</v>
      </c>
      <c r="I136" s="221" t="s">
        <v>190</v>
      </c>
      <c r="J136" s="214"/>
    </row>
    <row r="137" spans="1:10" ht="21" customHeight="1" x14ac:dyDescent="0.3">
      <c r="A137" s="215">
        <v>162</v>
      </c>
      <c r="B137" s="216" t="s">
        <v>616</v>
      </c>
      <c r="C137" s="217">
        <v>37735</v>
      </c>
      <c r="D137" s="218" t="s">
        <v>617</v>
      </c>
      <c r="E137" s="219" t="s">
        <v>618</v>
      </c>
      <c r="F137" s="220" t="s">
        <v>618</v>
      </c>
      <c r="G137" s="221">
        <v>4900</v>
      </c>
      <c r="H137" s="215" t="s">
        <v>424</v>
      </c>
      <c r="I137" s="221" t="s">
        <v>190</v>
      </c>
      <c r="J137" s="214"/>
    </row>
    <row r="138" spans="1:10" ht="21" customHeight="1" x14ac:dyDescent="0.3">
      <c r="A138" s="215">
        <v>140</v>
      </c>
      <c r="B138" s="216" t="s">
        <v>619</v>
      </c>
      <c r="C138" s="217">
        <v>37959</v>
      </c>
      <c r="D138" s="218" t="s">
        <v>620</v>
      </c>
      <c r="E138" s="219" t="s">
        <v>621</v>
      </c>
      <c r="F138" s="220" t="s">
        <v>622</v>
      </c>
      <c r="G138" s="221">
        <v>18000</v>
      </c>
      <c r="H138" s="215" t="s">
        <v>424</v>
      </c>
      <c r="I138" s="221" t="s">
        <v>190</v>
      </c>
      <c r="J138" s="214"/>
    </row>
    <row r="139" spans="1:10" ht="21" customHeight="1" x14ac:dyDescent="0.3">
      <c r="A139" s="215">
        <v>128</v>
      </c>
      <c r="B139" s="216" t="s">
        <v>623</v>
      </c>
      <c r="C139" s="217">
        <v>37966</v>
      </c>
      <c r="D139" s="218" t="s">
        <v>624</v>
      </c>
      <c r="E139" s="219" t="s">
        <v>625</v>
      </c>
      <c r="F139" s="220" t="s">
        <v>626</v>
      </c>
      <c r="G139" s="221">
        <v>2400</v>
      </c>
      <c r="H139" s="215" t="s">
        <v>442</v>
      </c>
      <c r="I139" s="221" t="s">
        <v>190</v>
      </c>
      <c r="J139" s="214"/>
    </row>
    <row r="140" spans="1:10" ht="21" customHeight="1" x14ac:dyDescent="0.3">
      <c r="A140" s="215">
        <v>134</v>
      </c>
      <c r="B140" s="216" t="s">
        <v>627</v>
      </c>
      <c r="C140" s="217">
        <v>38127</v>
      </c>
      <c r="D140" s="218" t="s">
        <v>628</v>
      </c>
      <c r="E140" s="219" t="s">
        <v>629</v>
      </c>
      <c r="F140" s="220" t="s">
        <v>630</v>
      </c>
      <c r="G140" s="221">
        <v>6000</v>
      </c>
      <c r="H140" s="215" t="s">
        <v>424</v>
      </c>
      <c r="I140" s="221" t="s">
        <v>190</v>
      </c>
      <c r="J140" s="214"/>
    </row>
    <row r="141" spans="1:10" ht="21" customHeight="1" x14ac:dyDescent="0.3">
      <c r="A141" s="215">
        <v>166</v>
      </c>
      <c r="B141" s="216" t="s">
        <v>631</v>
      </c>
      <c r="C141" s="217">
        <v>38189</v>
      </c>
      <c r="D141" s="218" t="s">
        <v>632</v>
      </c>
      <c r="E141" s="219" t="s">
        <v>633</v>
      </c>
      <c r="F141" s="220" t="s">
        <v>634</v>
      </c>
      <c r="G141" s="221">
        <v>1550</v>
      </c>
      <c r="H141" s="215" t="s">
        <v>424</v>
      </c>
      <c r="I141" s="221" t="s">
        <v>190</v>
      </c>
      <c r="J141" s="214"/>
    </row>
    <row r="142" spans="1:10" ht="21" customHeight="1" x14ac:dyDescent="0.3">
      <c r="A142" s="215">
        <v>111</v>
      </c>
      <c r="B142" s="216" t="s">
        <v>635</v>
      </c>
      <c r="C142" s="217">
        <v>38208</v>
      </c>
      <c r="D142" s="218" t="s">
        <v>636</v>
      </c>
      <c r="E142" s="219" t="s">
        <v>504</v>
      </c>
      <c r="F142" s="220" t="s">
        <v>423</v>
      </c>
      <c r="G142" s="221">
        <v>650</v>
      </c>
      <c r="H142" s="215" t="s">
        <v>424</v>
      </c>
      <c r="I142" s="221" t="s">
        <v>190</v>
      </c>
      <c r="J142" s="214"/>
    </row>
    <row r="143" spans="1:10" ht="21" customHeight="1" x14ac:dyDescent="0.3">
      <c r="A143" s="215">
        <v>122</v>
      </c>
      <c r="B143" s="216" t="s">
        <v>637</v>
      </c>
      <c r="C143" s="217">
        <v>38488</v>
      </c>
      <c r="D143" s="218" t="s">
        <v>638</v>
      </c>
      <c r="E143" s="219" t="s">
        <v>639</v>
      </c>
      <c r="F143" s="220" t="s">
        <v>513</v>
      </c>
      <c r="G143" s="221">
        <v>5594</v>
      </c>
      <c r="H143" s="215" t="s">
        <v>424</v>
      </c>
      <c r="I143" s="221" t="s">
        <v>190</v>
      </c>
      <c r="J143" s="214"/>
    </row>
    <row r="144" spans="1:10" ht="21" customHeight="1" x14ac:dyDescent="0.3">
      <c r="A144" s="215">
        <v>167</v>
      </c>
      <c r="B144" s="216" t="s">
        <v>640</v>
      </c>
      <c r="C144" s="217">
        <v>38743</v>
      </c>
      <c r="D144" s="218" t="s">
        <v>641</v>
      </c>
      <c r="E144" s="219" t="s">
        <v>642</v>
      </c>
      <c r="F144" s="220" t="s">
        <v>643</v>
      </c>
      <c r="G144" s="221">
        <v>50000</v>
      </c>
      <c r="H144" s="215" t="s">
        <v>424</v>
      </c>
      <c r="I144" s="221" t="s">
        <v>190</v>
      </c>
      <c r="J144" s="214"/>
    </row>
    <row r="145" spans="1:10" ht="21" customHeight="1" x14ac:dyDescent="0.3">
      <c r="A145" s="215">
        <v>112</v>
      </c>
      <c r="B145" s="216" t="s">
        <v>644</v>
      </c>
      <c r="C145" s="217">
        <v>38770</v>
      </c>
      <c r="D145" s="218" t="s">
        <v>645</v>
      </c>
      <c r="E145" s="219" t="s">
        <v>504</v>
      </c>
      <c r="F145" s="220" t="s">
        <v>423</v>
      </c>
      <c r="G145" s="221">
        <v>1400</v>
      </c>
      <c r="H145" s="215" t="s">
        <v>424</v>
      </c>
      <c r="I145" s="221" t="s">
        <v>190</v>
      </c>
      <c r="J145" s="214"/>
    </row>
    <row r="146" spans="1:10" ht="21" customHeight="1" x14ac:dyDescent="0.3">
      <c r="A146" s="215">
        <v>126</v>
      </c>
      <c r="B146" s="216" t="s">
        <v>646</v>
      </c>
      <c r="C146" s="217">
        <v>38796</v>
      </c>
      <c r="D146" s="218" t="s">
        <v>647</v>
      </c>
      <c r="E146" s="219" t="s">
        <v>648</v>
      </c>
      <c r="F146" s="220" t="s">
        <v>649</v>
      </c>
      <c r="G146" s="221">
        <v>2500</v>
      </c>
      <c r="H146" s="215" t="s">
        <v>424</v>
      </c>
      <c r="I146" s="221" t="s">
        <v>190</v>
      </c>
      <c r="J146" s="214"/>
    </row>
    <row r="147" spans="1:10" ht="21" customHeight="1" x14ac:dyDescent="0.3">
      <c r="A147" s="215">
        <v>164</v>
      </c>
      <c r="B147" s="216" t="s">
        <v>650</v>
      </c>
      <c r="C147" s="217">
        <v>38971</v>
      </c>
      <c r="D147" s="218" t="s">
        <v>651</v>
      </c>
      <c r="E147" s="219" t="s">
        <v>652</v>
      </c>
      <c r="F147" s="220" t="s">
        <v>653</v>
      </c>
      <c r="G147" s="221">
        <v>9100</v>
      </c>
      <c r="H147" s="215" t="s">
        <v>424</v>
      </c>
      <c r="I147" s="221" t="s">
        <v>190</v>
      </c>
      <c r="J147" s="214"/>
    </row>
    <row r="148" spans="1:10" ht="21" customHeight="1" x14ac:dyDescent="0.3">
      <c r="A148" s="215">
        <v>159</v>
      </c>
      <c r="B148" s="216" t="s">
        <v>654</v>
      </c>
      <c r="C148" s="217">
        <v>38990</v>
      </c>
      <c r="D148" s="218" t="s">
        <v>655</v>
      </c>
      <c r="E148" s="219" t="s">
        <v>656</v>
      </c>
      <c r="F148" s="220" t="s">
        <v>657</v>
      </c>
      <c r="G148" s="221">
        <v>19900</v>
      </c>
      <c r="H148" s="215" t="s">
        <v>424</v>
      </c>
      <c r="I148" s="221" t="s">
        <v>190</v>
      </c>
      <c r="J148" s="214"/>
    </row>
    <row r="149" spans="1:10" ht="21" customHeight="1" x14ac:dyDescent="0.3">
      <c r="A149" s="215">
        <v>113</v>
      </c>
      <c r="B149" s="216" t="s">
        <v>658</v>
      </c>
      <c r="C149" s="217">
        <v>39702</v>
      </c>
      <c r="D149" s="218" t="s">
        <v>659</v>
      </c>
      <c r="E149" s="219" t="s">
        <v>504</v>
      </c>
      <c r="F149" s="220" t="s">
        <v>660</v>
      </c>
      <c r="G149" s="221">
        <v>1400</v>
      </c>
      <c r="H149" s="215" t="s">
        <v>442</v>
      </c>
      <c r="I149" s="221" t="s">
        <v>190</v>
      </c>
      <c r="J149" s="214"/>
    </row>
    <row r="150" spans="1:10" ht="21" customHeight="1" x14ac:dyDescent="0.3">
      <c r="A150" s="215">
        <v>124</v>
      </c>
      <c r="B150" s="216" t="s">
        <v>661</v>
      </c>
      <c r="C150" s="217">
        <v>39770</v>
      </c>
      <c r="D150" s="218" t="s">
        <v>662</v>
      </c>
      <c r="E150" s="219" t="s">
        <v>663</v>
      </c>
      <c r="F150" s="220" t="s">
        <v>664</v>
      </c>
      <c r="G150" s="221">
        <v>43000</v>
      </c>
      <c r="H150" s="215" t="s">
        <v>424</v>
      </c>
      <c r="I150" s="221" t="s">
        <v>190</v>
      </c>
      <c r="J150" s="214"/>
    </row>
    <row r="151" spans="1:10" ht="21" customHeight="1" x14ac:dyDescent="0.3">
      <c r="A151" s="215">
        <v>114</v>
      </c>
      <c r="B151" s="216" t="s">
        <v>665</v>
      </c>
      <c r="C151" s="217">
        <v>39777</v>
      </c>
      <c r="D151" s="218" t="s">
        <v>666</v>
      </c>
      <c r="E151" s="219" t="s">
        <v>422</v>
      </c>
      <c r="F151" s="220" t="s">
        <v>667</v>
      </c>
      <c r="G151" s="221">
        <v>4000</v>
      </c>
      <c r="H151" s="215" t="s">
        <v>424</v>
      </c>
      <c r="I151" s="221" t="s">
        <v>190</v>
      </c>
      <c r="J151" s="214"/>
    </row>
    <row r="152" spans="1:10" ht="21" customHeight="1" x14ac:dyDescent="0.3">
      <c r="A152" s="215">
        <v>123</v>
      </c>
      <c r="B152" s="216" t="s">
        <v>668</v>
      </c>
      <c r="C152" s="217">
        <v>40256</v>
      </c>
      <c r="D152" s="218" t="s">
        <v>669</v>
      </c>
      <c r="E152" s="219" t="s">
        <v>670</v>
      </c>
      <c r="F152" s="220" t="s">
        <v>671</v>
      </c>
      <c r="G152" s="221">
        <v>450</v>
      </c>
      <c r="H152" s="215" t="s">
        <v>424</v>
      </c>
      <c r="I152" s="221" t="s">
        <v>190</v>
      </c>
      <c r="J152" s="214"/>
    </row>
    <row r="153" spans="1:10" ht="21" customHeight="1" x14ac:dyDescent="0.3">
      <c r="A153" s="215">
        <v>115</v>
      </c>
      <c r="B153" s="216" t="s">
        <v>672</v>
      </c>
      <c r="C153" s="217">
        <v>40262</v>
      </c>
      <c r="D153" s="218" t="s">
        <v>673</v>
      </c>
      <c r="E153" s="219" t="s">
        <v>422</v>
      </c>
      <c r="F153" s="220" t="s">
        <v>423</v>
      </c>
      <c r="G153" s="221">
        <v>800</v>
      </c>
      <c r="H153" s="215" t="s">
        <v>424</v>
      </c>
      <c r="I153" s="221" t="s">
        <v>190</v>
      </c>
      <c r="J153" s="214"/>
    </row>
    <row r="154" spans="1:10" ht="21" customHeight="1" x14ac:dyDescent="0.3">
      <c r="A154" s="215">
        <v>165</v>
      </c>
      <c r="B154" s="216" t="s">
        <v>674</v>
      </c>
      <c r="C154" s="217">
        <v>40409</v>
      </c>
      <c r="D154" s="218" t="s">
        <v>675</v>
      </c>
      <c r="E154" s="219" t="s">
        <v>676</v>
      </c>
      <c r="F154" s="220" t="s">
        <v>677</v>
      </c>
      <c r="G154" s="221">
        <v>14500</v>
      </c>
      <c r="H154" s="215" t="s">
        <v>424</v>
      </c>
      <c r="I154" s="221" t="s">
        <v>190</v>
      </c>
      <c r="J154" s="214"/>
    </row>
    <row r="155" spans="1:10" ht="21" customHeight="1" x14ac:dyDescent="0.3">
      <c r="A155" s="215">
        <v>127</v>
      </c>
      <c r="B155" s="216" t="s">
        <v>678</v>
      </c>
      <c r="C155" s="217">
        <v>40808</v>
      </c>
      <c r="D155" s="218" t="s">
        <v>679</v>
      </c>
      <c r="E155" s="219" t="s">
        <v>648</v>
      </c>
      <c r="F155" s="220" t="s">
        <v>649</v>
      </c>
      <c r="G155" s="221">
        <v>2900</v>
      </c>
      <c r="H155" s="215" t="s">
        <v>424</v>
      </c>
      <c r="I155" s="221" t="s">
        <v>190</v>
      </c>
      <c r="J155" s="214"/>
    </row>
    <row r="156" spans="1:10" ht="21" customHeight="1" x14ac:dyDescent="0.3">
      <c r="A156" s="215">
        <v>117</v>
      </c>
      <c r="B156" s="216" t="s">
        <v>680</v>
      </c>
      <c r="C156" s="217">
        <v>41512</v>
      </c>
      <c r="D156" s="218" t="s">
        <v>681</v>
      </c>
      <c r="E156" s="219" t="s">
        <v>422</v>
      </c>
      <c r="F156" s="220" t="s">
        <v>667</v>
      </c>
      <c r="G156" s="221">
        <v>600</v>
      </c>
      <c r="H156" s="215" t="s">
        <v>424</v>
      </c>
      <c r="I156" s="221" t="s">
        <v>190</v>
      </c>
      <c r="J156" s="214"/>
    </row>
    <row r="157" spans="1:10" ht="21" customHeight="1" x14ac:dyDescent="0.3">
      <c r="A157" s="215"/>
      <c r="B157" s="216"/>
      <c r="C157" s="217"/>
      <c r="D157" s="218"/>
      <c r="E157" s="219"/>
      <c r="F157" s="220"/>
      <c r="G157" s="221">
        <f>SUM(G11:G156)</f>
        <v>572360</v>
      </c>
      <c r="H157" s="215"/>
      <c r="I157" s="221"/>
      <c r="J157" s="214"/>
    </row>
    <row r="158" spans="1:10" ht="21" customHeight="1" x14ac:dyDescent="0.55000000000000004">
      <c r="A158" s="215">
        <v>143</v>
      </c>
      <c r="B158" s="216" t="s">
        <v>682</v>
      </c>
      <c r="C158" s="217">
        <v>39300</v>
      </c>
      <c r="D158" s="218" t="s">
        <v>683</v>
      </c>
      <c r="E158" s="12" t="s">
        <v>684</v>
      </c>
      <c r="F158" s="220" t="s">
        <v>685</v>
      </c>
      <c r="G158" s="221">
        <v>58900</v>
      </c>
      <c r="H158" s="215" t="s">
        <v>424</v>
      </c>
      <c r="I158" s="221" t="s">
        <v>404</v>
      </c>
      <c r="J158" s="214"/>
    </row>
    <row r="159" spans="1:10" ht="21" customHeight="1" x14ac:dyDescent="0.3">
      <c r="A159" s="215">
        <v>125</v>
      </c>
      <c r="B159" s="216" t="s">
        <v>686</v>
      </c>
      <c r="C159" s="217">
        <v>36794</v>
      </c>
      <c r="D159" s="218" t="s">
        <v>687</v>
      </c>
      <c r="E159" s="219" t="s">
        <v>688</v>
      </c>
      <c r="F159" s="220" t="s">
        <v>689</v>
      </c>
      <c r="G159" s="221">
        <v>59500</v>
      </c>
      <c r="H159" s="215" t="s">
        <v>424</v>
      </c>
      <c r="I159" s="221" t="s">
        <v>404</v>
      </c>
      <c r="J159" s="214"/>
    </row>
    <row r="160" spans="1:10" ht="21" customHeight="1" x14ac:dyDescent="0.3">
      <c r="A160" s="215">
        <v>142</v>
      </c>
      <c r="B160" s="216" t="s">
        <v>690</v>
      </c>
      <c r="C160" s="217">
        <v>38744</v>
      </c>
      <c r="D160" s="218" t="s">
        <v>691</v>
      </c>
      <c r="E160" s="219" t="s">
        <v>692</v>
      </c>
      <c r="F160" s="220" t="s">
        <v>693</v>
      </c>
      <c r="G160" s="233" t="s">
        <v>7</v>
      </c>
      <c r="H160" s="215" t="s">
        <v>442</v>
      </c>
      <c r="I160" s="221" t="s">
        <v>404</v>
      </c>
      <c r="J160" s="214"/>
    </row>
    <row r="161" spans="1:10" ht="21" customHeight="1" x14ac:dyDescent="0.3">
      <c r="A161" s="215">
        <v>141</v>
      </c>
      <c r="B161" s="216" t="s">
        <v>694</v>
      </c>
      <c r="C161" s="217">
        <v>38734</v>
      </c>
      <c r="D161" s="218" t="s">
        <v>695</v>
      </c>
      <c r="E161" s="219" t="s">
        <v>696</v>
      </c>
      <c r="F161" s="220" t="s">
        <v>697</v>
      </c>
      <c r="G161" s="221">
        <v>0</v>
      </c>
      <c r="H161" s="215" t="s">
        <v>442</v>
      </c>
      <c r="I161" s="221" t="s">
        <v>404</v>
      </c>
      <c r="J161" s="214"/>
    </row>
    <row r="162" spans="1:10" ht="21" customHeight="1" x14ac:dyDescent="0.3">
      <c r="A162" s="215">
        <v>145</v>
      </c>
      <c r="B162" s="216" t="s">
        <v>698</v>
      </c>
      <c r="C162" s="217">
        <v>36776</v>
      </c>
      <c r="D162" s="218" t="s">
        <v>699</v>
      </c>
      <c r="E162" s="219" t="s">
        <v>700</v>
      </c>
      <c r="F162" s="220" t="s">
        <v>701</v>
      </c>
      <c r="G162" s="221">
        <v>14500</v>
      </c>
      <c r="H162" s="215" t="s">
        <v>424</v>
      </c>
      <c r="I162" s="221" t="s">
        <v>404</v>
      </c>
      <c r="J162" s="214"/>
    </row>
    <row r="163" spans="1:10" ht="21" customHeight="1" x14ac:dyDescent="0.3">
      <c r="A163" s="215">
        <v>147</v>
      </c>
      <c r="B163" s="216" t="s">
        <v>694</v>
      </c>
      <c r="C163" s="217">
        <v>38734</v>
      </c>
      <c r="D163" s="218" t="s">
        <v>702</v>
      </c>
      <c r="E163" s="219" t="s">
        <v>688</v>
      </c>
      <c r="F163" s="220" t="s">
        <v>703</v>
      </c>
      <c r="G163" s="221">
        <v>57000</v>
      </c>
      <c r="H163" s="215" t="s">
        <v>424</v>
      </c>
      <c r="I163" s="221" t="s">
        <v>404</v>
      </c>
      <c r="J163" s="214"/>
    </row>
    <row r="164" spans="1:10" ht="21" customHeight="1" x14ac:dyDescent="0.3">
      <c r="A164" s="215">
        <v>146</v>
      </c>
      <c r="B164" s="216" t="s">
        <v>704</v>
      </c>
      <c r="C164" s="217">
        <v>38049</v>
      </c>
      <c r="D164" s="218" t="s">
        <v>705</v>
      </c>
      <c r="E164" s="219" t="s">
        <v>688</v>
      </c>
      <c r="F164" s="220" t="s">
        <v>706</v>
      </c>
      <c r="G164" s="221">
        <v>56900</v>
      </c>
      <c r="H164" s="215" t="s">
        <v>424</v>
      </c>
      <c r="I164" s="221" t="s">
        <v>404</v>
      </c>
      <c r="J164" s="214"/>
    </row>
    <row r="165" spans="1:10" ht="21" customHeight="1" x14ac:dyDescent="0.55000000000000004">
      <c r="A165" s="215">
        <v>144</v>
      </c>
      <c r="B165" s="216" t="s">
        <v>707</v>
      </c>
      <c r="C165" s="217">
        <v>35558</v>
      </c>
      <c r="D165" s="218" t="s">
        <v>708</v>
      </c>
      <c r="E165" s="12" t="s">
        <v>709</v>
      </c>
      <c r="F165" s="220" t="s">
        <v>710</v>
      </c>
      <c r="G165" s="221">
        <v>51200</v>
      </c>
      <c r="H165" s="215" t="s">
        <v>424</v>
      </c>
      <c r="I165" s="221" t="s">
        <v>404</v>
      </c>
      <c r="J165" s="214"/>
    </row>
    <row r="166" spans="1:10" ht="21" customHeight="1" x14ac:dyDescent="0.55000000000000004">
      <c r="A166" s="215"/>
      <c r="B166" s="216"/>
      <c r="C166" s="217"/>
      <c r="D166" s="218"/>
      <c r="E166" s="12"/>
      <c r="F166" s="220"/>
      <c r="G166" s="221">
        <f>SUM(G158:G165)</f>
        <v>298000</v>
      </c>
      <c r="H166" s="215"/>
      <c r="I166" s="221"/>
      <c r="J166" s="214"/>
    </row>
    <row r="167" spans="1:10" ht="21" customHeight="1" x14ac:dyDescent="0.3">
      <c r="A167" s="215">
        <v>1</v>
      </c>
      <c r="B167" s="234" t="s">
        <v>711</v>
      </c>
      <c r="C167" s="235">
        <v>41100</v>
      </c>
      <c r="D167" s="236" t="s">
        <v>712</v>
      </c>
      <c r="E167" s="237" t="s">
        <v>713</v>
      </c>
      <c r="F167" s="238" t="s">
        <v>714</v>
      </c>
      <c r="G167" s="221">
        <v>8025</v>
      </c>
      <c r="H167" s="213"/>
      <c r="I167" s="221" t="s">
        <v>715</v>
      </c>
      <c r="J167" s="214"/>
    </row>
    <row r="168" spans="1:10" ht="21" customHeight="1" x14ac:dyDescent="0.3">
      <c r="A168" s="215">
        <v>2</v>
      </c>
      <c r="B168" s="234" t="s">
        <v>711</v>
      </c>
      <c r="C168" s="235">
        <v>41100</v>
      </c>
      <c r="D168" s="236" t="s">
        <v>712</v>
      </c>
      <c r="E168" s="237" t="s">
        <v>716</v>
      </c>
      <c r="F168" s="238" t="s">
        <v>714</v>
      </c>
      <c r="G168" s="221">
        <v>7597</v>
      </c>
      <c r="H168" s="213"/>
      <c r="I168" s="221" t="s">
        <v>715</v>
      </c>
      <c r="J168" s="214"/>
    </row>
    <row r="169" spans="1:10" ht="21" customHeight="1" x14ac:dyDescent="0.3">
      <c r="A169" s="215">
        <v>3</v>
      </c>
      <c r="B169" s="234" t="s">
        <v>711</v>
      </c>
      <c r="C169" s="235">
        <v>41100</v>
      </c>
      <c r="D169" s="236" t="s">
        <v>712</v>
      </c>
      <c r="E169" s="237" t="s">
        <v>717</v>
      </c>
      <c r="F169" s="238" t="s">
        <v>714</v>
      </c>
      <c r="G169" s="221">
        <v>15836</v>
      </c>
      <c r="H169" s="213"/>
      <c r="I169" s="221" t="s">
        <v>715</v>
      </c>
      <c r="J169" s="214"/>
    </row>
    <row r="170" spans="1:10" ht="21" customHeight="1" x14ac:dyDescent="0.3">
      <c r="A170" s="215">
        <v>4</v>
      </c>
      <c r="B170" s="234" t="s">
        <v>711</v>
      </c>
      <c r="C170" s="235">
        <v>41100</v>
      </c>
      <c r="D170" s="236" t="s">
        <v>712</v>
      </c>
      <c r="E170" s="237" t="s">
        <v>718</v>
      </c>
      <c r="F170" s="238" t="s">
        <v>714</v>
      </c>
      <c r="G170" s="221">
        <v>16906</v>
      </c>
      <c r="H170" s="213"/>
      <c r="I170" s="221" t="s">
        <v>715</v>
      </c>
      <c r="J170" s="214"/>
    </row>
    <row r="171" spans="1:10" ht="21" customHeight="1" x14ac:dyDescent="0.3">
      <c r="A171" s="215">
        <v>5</v>
      </c>
      <c r="B171" s="234" t="s">
        <v>711</v>
      </c>
      <c r="C171" s="235">
        <v>41100</v>
      </c>
      <c r="D171" s="236" t="s">
        <v>712</v>
      </c>
      <c r="E171" s="237" t="s">
        <v>719</v>
      </c>
      <c r="F171" s="238" t="s">
        <v>714</v>
      </c>
      <c r="G171" s="221">
        <v>9737</v>
      </c>
      <c r="H171" s="213"/>
      <c r="I171" s="221" t="s">
        <v>715</v>
      </c>
      <c r="J171" s="214"/>
    </row>
    <row r="172" spans="1:10" ht="21" customHeight="1" x14ac:dyDescent="0.3">
      <c r="A172" s="215">
        <v>6</v>
      </c>
      <c r="B172" s="234" t="s">
        <v>711</v>
      </c>
      <c r="C172" s="235">
        <v>41100</v>
      </c>
      <c r="D172" s="236" t="s">
        <v>712</v>
      </c>
      <c r="E172" s="237" t="s">
        <v>720</v>
      </c>
      <c r="F172" s="238" t="s">
        <v>714</v>
      </c>
      <c r="G172" s="221">
        <v>14766</v>
      </c>
      <c r="H172" s="213"/>
      <c r="I172" s="221" t="s">
        <v>715</v>
      </c>
      <c r="J172" s="214"/>
    </row>
    <row r="173" spans="1:10" ht="21" customHeight="1" x14ac:dyDescent="0.3">
      <c r="A173" s="215">
        <v>7</v>
      </c>
      <c r="B173" s="234" t="s">
        <v>711</v>
      </c>
      <c r="C173" s="235">
        <v>41100</v>
      </c>
      <c r="D173" s="236" t="s">
        <v>712</v>
      </c>
      <c r="E173" s="237" t="s">
        <v>721</v>
      </c>
      <c r="F173" s="238" t="s">
        <v>714</v>
      </c>
      <c r="G173" s="221">
        <v>8346</v>
      </c>
      <c r="H173" s="213"/>
      <c r="I173" s="221" t="s">
        <v>715</v>
      </c>
      <c r="J173" s="214"/>
    </row>
    <row r="174" spans="1:10" ht="21" customHeight="1" x14ac:dyDescent="0.3">
      <c r="A174" s="215">
        <v>8</v>
      </c>
      <c r="B174" s="234" t="s">
        <v>711</v>
      </c>
      <c r="C174" s="235">
        <v>41100</v>
      </c>
      <c r="D174" s="236" t="s">
        <v>712</v>
      </c>
      <c r="E174" s="237" t="s">
        <v>722</v>
      </c>
      <c r="F174" s="238" t="s">
        <v>714</v>
      </c>
      <c r="G174" s="221">
        <v>15836</v>
      </c>
      <c r="H174" s="213"/>
      <c r="I174" s="221" t="s">
        <v>715</v>
      </c>
      <c r="J174" s="214"/>
    </row>
    <row r="175" spans="1:10" ht="21" customHeight="1" x14ac:dyDescent="0.3">
      <c r="A175" s="215">
        <v>9</v>
      </c>
      <c r="B175" s="234" t="s">
        <v>711</v>
      </c>
      <c r="C175" s="235">
        <v>41100</v>
      </c>
      <c r="D175" s="236" t="s">
        <v>712</v>
      </c>
      <c r="E175" s="237" t="s">
        <v>723</v>
      </c>
      <c r="F175" s="238" t="s">
        <v>714</v>
      </c>
      <c r="G175" s="221">
        <v>15515</v>
      </c>
      <c r="H175" s="213"/>
      <c r="I175" s="221" t="s">
        <v>715</v>
      </c>
      <c r="J175" s="214"/>
    </row>
    <row r="176" spans="1:10" ht="21" customHeight="1" x14ac:dyDescent="0.3">
      <c r="A176" s="215">
        <v>10</v>
      </c>
      <c r="B176" s="234" t="s">
        <v>711</v>
      </c>
      <c r="C176" s="235">
        <v>41100</v>
      </c>
      <c r="D176" s="236" t="s">
        <v>712</v>
      </c>
      <c r="E176" s="237" t="s">
        <v>724</v>
      </c>
      <c r="F176" s="238" t="s">
        <v>714</v>
      </c>
      <c r="G176" s="221">
        <v>7276</v>
      </c>
      <c r="H176" s="213"/>
      <c r="I176" s="221" t="s">
        <v>715</v>
      </c>
      <c r="J176" s="214"/>
    </row>
    <row r="177" spans="1:10" ht="21" customHeight="1" x14ac:dyDescent="0.3">
      <c r="A177" s="215">
        <v>11</v>
      </c>
      <c r="B177" s="234" t="s">
        <v>711</v>
      </c>
      <c r="C177" s="235">
        <v>41100</v>
      </c>
      <c r="D177" s="236" t="s">
        <v>712</v>
      </c>
      <c r="E177" s="237" t="s">
        <v>725</v>
      </c>
      <c r="F177" s="238" t="s">
        <v>714</v>
      </c>
      <c r="G177" s="221">
        <v>10165</v>
      </c>
      <c r="H177" s="213"/>
      <c r="I177" s="221" t="s">
        <v>715</v>
      </c>
      <c r="J177" s="214"/>
    </row>
    <row r="178" spans="1:10" ht="21" customHeight="1" x14ac:dyDescent="0.3">
      <c r="A178" s="215">
        <v>12</v>
      </c>
      <c r="B178" s="234" t="s">
        <v>711</v>
      </c>
      <c r="C178" s="235">
        <v>41100</v>
      </c>
      <c r="D178" s="236" t="s">
        <v>712</v>
      </c>
      <c r="E178" s="237" t="s">
        <v>726</v>
      </c>
      <c r="F178" s="238" t="s">
        <v>714</v>
      </c>
      <c r="G178" s="221">
        <v>11235</v>
      </c>
      <c r="H178" s="213"/>
      <c r="I178" s="221" t="s">
        <v>715</v>
      </c>
      <c r="J178" s="214"/>
    </row>
    <row r="179" spans="1:10" ht="21" customHeight="1" x14ac:dyDescent="0.3">
      <c r="A179" s="215">
        <v>13</v>
      </c>
      <c r="B179" s="234" t="s">
        <v>711</v>
      </c>
      <c r="C179" s="235">
        <v>41100</v>
      </c>
      <c r="D179" s="236" t="s">
        <v>712</v>
      </c>
      <c r="E179" s="237" t="s">
        <v>727</v>
      </c>
      <c r="F179" s="238" t="s">
        <v>714</v>
      </c>
      <c r="G179" s="221">
        <v>17655</v>
      </c>
      <c r="H179" s="213"/>
      <c r="I179" s="221" t="s">
        <v>715</v>
      </c>
      <c r="J179" s="214"/>
    </row>
    <row r="180" spans="1:10" ht="21" customHeight="1" x14ac:dyDescent="0.3">
      <c r="A180" s="215">
        <v>14</v>
      </c>
      <c r="B180" s="234" t="s">
        <v>711</v>
      </c>
      <c r="C180" s="235">
        <v>41100</v>
      </c>
      <c r="D180" s="236" t="s">
        <v>712</v>
      </c>
      <c r="E180" s="237" t="s">
        <v>728</v>
      </c>
      <c r="F180" s="238" t="s">
        <v>714</v>
      </c>
      <c r="G180" s="221">
        <v>9095</v>
      </c>
      <c r="H180" s="213"/>
      <c r="I180" s="221" t="s">
        <v>715</v>
      </c>
      <c r="J180" s="214"/>
    </row>
    <row r="181" spans="1:10" ht="21" customHeight="1" x14ac:dyDescent="0.3">
      <c r="A181" s="215">
        <v>15</v>
      </c>
      <c r="B181" s="234" t="s">
        <v>711</v>
      </c>
      <c r="C181" s="235">
        <v>41100</v>
      </c>
      <c r="D181" s="236" t="s">
        <v>712</v>
      </c>
      <c r="E181" s="237" t="s">
        <v>729</v>
      </c>
      <c r="F181" s="238" t="s">
        <v>714</v>
      </c>
      <c r="G181" s="221">
        <v>12840</v>
      </c>
      <c r="H181" s="213"/>
      <c r="I181" s="221" t="s">
        <v>715</v>
      </c>
      <c r="J181" s="214"/>
    </row>
    <row r="182" spans="1:10" ht="21" customHeight="1" x14ac:dyDescent="0.3">
      <c r="A182" s="215">
        <v>16</v>
      </c>
      <c r="B182" s="234" t="s">
        <v>711</v>
      </c>
      <c r="C182" s="235">
        <v>41100</v>
      </c>
      <c r="D182" s="236" t="s">
        <v>712</v>
      </c>
      <c r="E182" s="237" t="s">
        <v>730</v>
      </c>
      <c r="F182" s="238" t="s">
        <v>714</v>
      </c>
      <c r="G182" s="221">
        <v>9095</v>
      </c>
      <c r="H182" s="239"/>
      <c r="I182" s="221" t="s">
        <v>715</v>
      </c>
      <c r="J182" s="214"/>
    </row>
    <row r="183" spans="1:10" ht="21" customHeight="1" x14ac:dyDescent="0.3">
      <c r="A183" s="215">
        <v>17</v>
      </c>
      <c r="B183" s="234" t="s">
        <v>711</v>
      </c>
      <c r="C183" s="235">
        <v>41100</v>
      </c>
      <c r="D183" s="236" t="s">
        <v>712</v>
      </c>
      <c r="E183" s="237" t="s">
        <v>731</v>
      </c>
      <c r="F183" s="238" t="s">
        <v>714</v>
      </c>
      <c r="G183" s="221">
        <v>9095</v>
      </c>
      <c r="H183" s="240"/>
      <c r="I183" s="221" t="s">
        <v>715</v>
      </c>
      <c r="J183" s="214"/>
    </row>
    <row r="184" spans="1:10" ht="21" customHeight="1" x14ac:dyDescent="0.3">
      <c r="A184" s="215"/>
      <c r="B184" s="234"/>
      <c r="C184" s="235"/>
      <c r="D184" s="236"/>
      <c r="E184" s="237"/>
      <c r="F184" s="238"/>
      <c r="G184" s="221">
        <f>SUM(G167:G183)</f>
        <v>199020</v>
      </c>
      <c r="H184" s="240"/>
      <c r="I184" s="221"/>
      <c r="J184" s="214"/>
    </row>
    <row r="185" spans="1:10" ht="21" customHeight="1" x14ac:dyDescent="0.3">
      <c r="A185" s="215">
        <v>148</v>
      </c>
      <c r="B185" s="216" t="s">
        <v>732</v>
      </c>
      <c r="C185" s="217">
        <v>39595</v>
      </c>
      <c r="D185" s="218" t="s">
        <v>733</v>
      </c>
      <c r="E185" s="219" t="s">
        <v>734</v>
      </c>
      <c r="F185" s="220" t="s">
        <v>735</v>
      </c>
      <c r="G185" s="221">
        <v>19550</v>
      </c>
      <c r="H185" s="215" t="s">
        <v>442</v>
      </c>
      <c r="I185" s="221" t="s">
        <v>736</v>
      </c>
      <c r="J185" s="214"/>
    </row>
    <row r="186" spans="1:10" ht="21" customHeight="1" x14ac:dyDescent="0.3">
      <c r="A186" s="215">
        <v>149</v>
      </c>
      <c r="B186" s="216" t="s">
        <v>732</v>
      </c>
      <c r="C186" s="217">
        <v>39595</v>
      </c>
      <c r="D186" s="218" t="s">
        <v>737</v>
      </c>
      <c r="E186" s="219" t="s">
        <v>738</v>
      </c>
      <c r="F186" s="220" t="s">
        <v>735</v>
      </c>
      <c r="G186" s="221">
        <v>21850</v>
      </c>
      <c r="H186" s="215" t="s">
        <v>442</v>
      </c>
      <c r="I186" s="221" t="s">
        <v>736</v>
      </c>
      <c r="J186" s="214"/>
    </row>
    <row r="187" spans="1:10" ht="21" customHeight="1" x14ac:dyDescent="0.3">
      <c r="A187" s="215">
        <v>150</v>
      </c>
      <c r="B187" s="216" t="s">
        <v>732</v>
      </c>
      <c r="C187" s="217">
        <v>39595</v>
      </c>
      <c r="D187" s="218" t="s">
        <v>739</v>
      </c>
      <c r="E187" s="219" t="s">
        <v>740</v>
      </c>
      <c r="F187" s="220" t="s">
        <v>735</v>
      </c>
      <c r="G187" s="221">
        <v>8050</v>
      </c>
      <c r="H187" s="215" t="s">
        <v>442</v>
      </c>
      <c r="I187" s="221" t="s">
        <v>736</v>
      </c>
      <c r="J187" s="214"/>
    </row>
    <row r="188" spans="1:10" ht="21" customHeight="1" x14ac:dyDescent="0.3">
      <c r="A188" s="215">
        <v>151</v>
      </c>
      <c r="B188" s="216" t="s">
        <v>741</v>
      </c>
      <c r="C188" s="217">
        <v>40053</v>
      </c>
      <c r="D188" s="218" t="s">
        <v>742</v>
      </c>
      <c r="E188" s="219" t="s">
        <v>743</v>
      </c>
      <c r="F188" s="220" t="s">
        <v>744</v>
      </c>
      <c r="G188" s="221">
        <v>47500</v>
      </c>
      <c r="H188" s="215" t="s">
        <v>424</v>
      </c>
      <c r="I188" s="221" t="s">
        <v>736</v>
      </c>
      <c r="J188" s="214"/>
    </row>
    <row r="189" spans="1:10" ht="21" customHeight="1" x14ac:dyDescent="0.3">
      <c r="A189" s="215">
        <v>152</v>
      </c>
      <c r="B189" s="216" t="s">
        <v>741</v>
      </c>
      <c r="C189" s="217">
        <v>40053</v>
      </c>
      <c r="D189" s="218" t="s">
        <v>745</v>
      </c>
      <c r="E189" s="219" t="s">
        <v>746</v>
      </c>
      <c r="F189" s="220" t="s">
        <v>747</v>
      </c>
      <c r="G189" s="221">
        <v>29500</v>
      </c>
      <c r="H189" s="215" t="s">
        <v>424</v>
      </c>
      <c r="I189" s="221" t="s">
        <v>736</v>
      </c>
      <c r="J189" s="214"/>
    </row>
    <row r="190" spans="1:10" ht="21" customHeight="1" x14ac:dyDescent="0.3">
      <c r="A190" s="215">
        <v>153</v>
      </c>
      <c r="B190" s="216" t="s">
        <v>741</v>
      </c>
      <c r="C190" s="217">
        <v>40053</v>
      </c>
      <c r="D190" s="218" t="s">
        <v>748</v>
      </c>
      <c r="E190" s="219" t="s">
        <v>749</v>
      </c>
      <c r="F190" s="220" t="s">
        <v>750</v>
      </c>
      <c r="G190" s="221">
        <v>18500</v>
      </c>
      <c r="H190" s="215" t="s">
        <v>424</v>
      </c>
      <c r="I190" s="221" t="s">
        <v>736</v>
      </c>
      <c r="J190" s="214"/>
    </row>
    <row r="191" spans="1:10" ht="21" customHeight="1" x14ac:dyDescent="0.3">
      <c r="A191" s="215">
        <v>154</v>
      </c>
      <c r="B191" s="216" t="s">
        <v>741</v>
      </c>
      <c r="C191" s="217">
        <v>40053</v>
      </c>
      <c r="D191" s="218" t="s">
        <v>751</v>
      </c>
      <c r="E191" s="219" t="s">
        <v>752</v>
      </c>
      <c r="F191" s="220" t="s">
        <v>753</v>
      </c>
      <c r="G191" s="221">
        <v>3600</v>
      </c>
      <c r="H191" s="215" t="s">
        <v>424</v>
      </c>
      <c r="I191" s="221" t="s">
        <v>736</v>
      </c>
      <c r="J191" s="214"/>
    </row>
    <row r="192" spans="1:10" ht="21" customHeight="1" x14ac:dyDescent="0.3">
      <c r="A192" s="215">
        <v>129</v>
      </c>
      <c r="B192" s="216" t="s">
        <v>754</v>
      </c>
      <c r="C192" s="217">
        <v>40812</v>
      </c>
      <c r="D192" s="218" t="s">
        <v>755</v>
      </c>
      <c r="E192" s="219" t="s">
        <v>756</v>
      </c>
      <c r="F192" s="220" t="s">
        <v>757</v>
      </c>
      <c r="G192" s="221">
        <v>9450</v>
      </c>
      <c r="H192" s="215" t="s">
        <v>424</v>
      </c>
      <c r="I192" s="221" t="s">
        <v>736</v>
      </c>
      <c r="J192" s="214"/>
    </row>
    <row r="193" spans="1:10" ht="21" customHeight="1" x14ac:dyDescent="0.3">
      <c r="A193" s="215">
        <v>130</v>
      </c>
      <c r="B193" s="216" t="s">
        <v>754</v>
      </c>
      <c r="C193" s="217">
        <v>40812</v>
      </c>
      <c r="D193" s="218" t="s">
        <v>758</v>
      </c>
      <c r="E193" s="219" t="s">
        <v>756</v>
      </c>
      <c r="F193" s="220" t="s">
        <v>757</v>
      </c>
      <c r="G193" s="221">
        <v>9450</v>
      </c>
      <c r="H193" s="215" t="s">
        <v>424</v>
      </c>
      <c r="I193" s="221" t="s">
        <v>736</v>
      </c>
      <c r="J193" s="214"/>
    </row>
    <row r="194" spans="1:10" ht="21" customHeight="1" x14ac:dyDescent="0.3">
      <c r="A194" s="215">
        <v>18</v>
      </c>
      <c r="B194" s="234" t="s">
        <v>759</v>
      </c>
      <c r="C194" s="235">
        <v>41210</v>
      </c>
      <c r="D194" s="236" t="s">
        <v>760</v>
      </c>
      <c r="E194" s="237" t="s">
        <v>761</v>
      </c>
      <c r="F194" s="237" t="s">
        <v>762</v>
      </c>
      <c r="G194" s="241">
        <v>467289.71</v>
      </c>
      <c r="H194" s="213"/>
      <c r="I194" s="221" t="s">
        <v>736</v>
      </c>
      <c r="J194" s="214"/>
    </row>
    <row r="195" spans="1:10" ht="21" customHeight="1" x14ac:dyDescent="0.3">
      <c r="A195" s="215"/>
      <c r="B195" s="242"/>
      <c r="C195" s="243"/>
      <c r="D195" s="244"/>
      <c r="E195" s="245"/>
      <c r="F195" s="237"/>
      <c r="G195" s="241">
        <f>SUM(G185:G194)</f>
        <v>634739.71</v>
      </c>
      <c r="H195" s="213"/>
      <c r="I195" s="246"/>
      <c r="J195" s="214"/>
    </row>
    <row r="196" spans="1:10" ht="21" customHeight="1" x14ac:dyDescent="0.5">
      <c r="A196" s="215"/>
      <c r="B196" s="247"/>
      <c r="C196" s="247"/>
      <c r="D196" s="248"/>
      <c r="E196" s="249"/>
      <c r="F196" s="250"/>
      <c r="G196" s="251">
        <f>SUM(G195,G184,G166,G157,G10,G5)</f>
        <v>2011659.71</v>
      </c>
      <c r="H196" s="252"/>
      <c r="I196" s="253"/>
      <c r="J196" s="214"/>
    </row>
    <row r="197" spans="1:10" ht="21" customHeight="1" x14ac:dyDescent="0.5">
      <c r="G197" s="256"/>
      <c r="H197" s="256"/>
    </row>
    <row r="199" spans="1:10" ht="21" customHeight="1" x14ac:dyDescent="0.5">
      <c r="F199" s="257"/>
    </row>
  </sheetData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6"/>
  <sheetViews>
    <sheetView workbookViewId="0">
      <selection activeCell="F6" sqref="F6:F11"/>
    </sheetView>
  </sheetViews>
  <sheetFormatPr defaultColWidth="13" defaultRowHeight="24" x14ac:dyDescent="0.55000000000000004"/>
  <cols>
    <col min="1" max="1" width="26" style="17" customWidth="1"/>
    <col min="2" max="2" width="18.7109375" style="17" customWidth="1"/>
    <col min="3" max="3" width="16.42578125" style="16" customWidth="1"/>
    <col min="4" max="4" width="18.7109375" style="16" customWidth="1"/>
    <col min="5" max="5" width="15.140625" style="16" customWidth="1"/>
    <col min="6" max="6" width="18.140625" style="16" customWidth="1"/>
    <col min="7" max="16384" width="13" style="3"/>
  </cols>
  <sheetData>
    <row r="1" spans="1:6" x14ac:dyDescent="0.55000000000000004">
      <c r="A1" s="259" t="s">
        <v>30</v>
      </c>
      <c r="B1" s="259"/>
      <c r="C1" s="259"/>
      <c r="D1" s="259"/>
      <c r="E1" s="259"/>
      <c r="F1" s="259"/>
    </row>
    <row r="2" spans="1:6" x14ac:dyDescent="0.55000000000000004">
      <c r="A2" s="259" t="s">
        <v>132</v>
      </c>
      <c r="B2" s="259"/>
      <c r="C2" s="259"/>
      <c r="D2" s="259"/>
      <c r="E2" s="259"/>
      <c r="F2" s="259"/>
    </row>
    <row r="3" spans="1:6" x14ac:dyDescent="0.55000000000000004">
      <c r="A3" s="260" t="str">
        <f>งบทดลอง!A3</f>
        <v>ณ  วันที่  30 กันยายน  2559</v>
      </c>
      <c r="B3" s="260"/>
      <c r="C3" s="260"/>
      <c r="D3" s="260"/>
      <c r="E3" s="260"/>
      <c r="F3" s="260"/>
    </row>
    <row r="4" spans="1:6" x14ac:dyDescent="0.55000000000000004">
      <c r="A4" s="21" t="s">
        <v>34</v>
      </c>
      <c r="B4" s="21" t="s">
        <v>35</v>
      </c>
      <c r="C4" s="20" t="s">
        <v>130</v>
      </c>
      <c r="D4" s="20" t="s">
        <v>131</v>
      </c>
      <c r="E4" s="21" t="s">
        <v>205</v>
      </c>
      <c r="F4" s="20" t="s">
        <v>49</v>
      </c>
    </row>
    <row r="5" spans="1:6" x14ac:dyDescent="0.55000000000000004">
      <c r="A5" s="23"/>
      <c r="B5" s="24"/>
      <c r="C5" s="22"/>
      <c r="D5" s="22"/>
      <c r="E5" s="22"/>
      <c r="F5" s="22"/>
    </row>
    <row r="6" spans="1:6" x14ac:dyDescent="0.55000000000000004">
      <c r="A6" s="10" t="s">
        <v>40</v>
      </c>
      <c r="B6" s="27">
        <v>38406337.649999999</v>
      </c>
      <c r="C6" s="26">
        <v>4565540</v>
      </c>
      <c r="D6" s="26">
        <v>1376920</v>
      </c>
      <c r="E6" s="26">
        <v>0</v>
      </c>
      <c r="F6" s="26">
        <f t="shared" ref="F6:F11" si="0">SUM(B6+C6-D6+E6)</f>
        <v>41594957.649999999</v>
      </c>
    </row>
    <row r="7" spans="1:6" x14ac:dyDescent="0.55000000000000004">
      <c r="A7" s="10" t="s">
        <v>106</v>
      </c>
      <c r="B7" s="27">
        <v>541600</v>
      </c>
      <c r="C7" s="26">
        <v>0</v>
      </c>
      <c r="D7" s="90">
        <v>0</v>
      </c>
      <c r="E7" s="90">
        <v>0</v>
      </c>
      <c r="F7" s="26">
        <f t="shared" si="0"/>
        <v>541600</v>
      </c>
    </row>
    <row r="8" spans="1:6" x14ac:dyDescent="0.55000000000000004">
      <c r="A8" s="10" t="s">
        <v>107</v>
      </c>
      <c r="B8" s="27">
        <v>3043644.75</v>
      </c>
      <c r="C8" s="26">
        <v>0</v>
      </c>
      <c r="D8" s="26">
        <v>0</v>
      </c>
      <c r="E8" s="26">
        <v>0</v>
      </c>
      <c r="F8" s="26">
        <f t="shared" si="0"/>
        <v>3043644.75</v>
      </c>
    </row>
    <row r="9" spans="1:6" x14ac:dyDescent="0.55000000000000004">
      <c r="A9" s="10" t="s">
        <v>108</v>
      </c>
      <c r="B9" s="27">
        <v>3615400</v>
      </c>
      <c r="C9" s="26">
        <v>3380</v>
      </c>
      <c r="D9" s="26">
        <v>0</v>
      </c>
      <c r="E9" s="26">
        <v>0</v>
      </c>
      <c r="F9" s="26">
        <f t="shared" si="0"/>
        <v>3618780</v>
      </c>
    </row>
    <row r="10" spans="1:6" x14ac:dyDescent="0.55000000000000004">
      <c r="A10" s="10" t="s">
        <v>109</v>
      </c>
      <c r="B10" s="27">
        <v>17820000</v>
      </c>
      <c r="C10" s="26">
        <v>0</v>
      </c>
      <c r="D10" s="26">
        <v>0</v>
      </c>
      <c r="E10" s="26">
        <v>0</v>
      </c>
      <c r="F10" s="26">
        <f t="shared" si="0"/>
        <v>17820000</v>
      </c>
    </row>
    <row r="11" spans="1:6" x14ac:dyDescent="0.55000000000000004">
      <c r="A11" s="10" t="s">
        <v>335</v>
      </c>
      <c r="B11" s="27">
        <v>279000</v>
      </c>
      <c r="C11" s="29">
        <v>0</v>
      </c>
      <c r="D11" s="29">
        <v>0</v>
      </c>
      <c r="E11" s="29">
        <v>0</v>
      </c>
      <c r="F11" s="26">
        <f t="shared" si="0"/>
        <v>279000</v>
      </c>
    </row>
    <row r="12" spans="1:6" x14ac:dyDescent="0.55000000000000004">
      <c r="A12" s="10" t="s">
        <v>336</v>
      </c>
      <c r="B12" s="27"/>
      <c r="C12" s="29"/>
      <c r="D12" s="29"/>
      <c r="E12" s="29"/>
      <c r="F12" s="29"/>
    </row>
    <row r="13" spans="1:6" ht="24.75" thickBot="1" x14ac:dyDescent="0.6">
      <c r="A13" s="54"/>
      <c r="B13" s="55">
        <f>SUM(B6:B12)</f>
        <v>63705982.399999999</v>
      </c>
      <c r="C13" s="55">
        <f>SUM(C6:C12)</f>
        <v>4568920</v>
      </c>
      <c r="D13" s="55">
        <f>SUM(D6:D12)</f>
        <v>1376920</v>
      </c>
      <c r="E13" s="55">
        <f>SUM(E6:E12)</f>
        <v>0</v>
      </c>
      <c r="F13" s="55">
        <f>SUM(F6:F12)</f>
        <v>66897982.399999999</v>
      </c>
    </row>
    <row r="14" spans="1:6" ht="24.75" thickTop="1" x14ac:dyDescent="0.55000000000000004"/>
    <row r="15" spans="1:6" x14ac:dyDescent="0.55000000000000004">
      <c r="F15" s="109"/>
    </row>
    <row r="16" spans="1:6" x14ac:dyDescent="0.55000000000000004">
      <c r="C16" s="40"/>
      <c r="F16" s="108"/>
    </row>
  </sheetData>
  <mergeCells count="3">
    <mergeCell ref="A1:F1"/>
    <mergeCell ref="A2:F2"/>
    <mergeCell ref="A3:F3"/>
  </mergeCells>
  <phoneticPr fontId="10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0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030A0"/>
  </sheetPr>
  <dimension ref="A1:K84"/>
  <sheetViews>
    <sheetView zoomScale="90" workbookViewId="0">
      <selection activeCell="A3" sqref="A3:F3"/>
    </sheetView>
  </sheetViews>
  <sheetFormatPr defaultColWidth="19.7109375" defaultRowHeight="24" x14ac:dyDescent="0.55000000000000004"/>
  <cols>
    <col min="1" max="16384" width="19.7109375" style="17"/>
  </cols>
  <sheetData>
    <row r="1" spans="1:7" x14ac:dyDescent="0.55000000000000004">
      <c r="A1" s="259" t="s">
        <v>10</v>
      </c>
      <c r="B1" s="259"/>
      <c r="C1" s="259"/>
      <c r="D1" s="259"/>
      <c r="E1" s="259"/>
      <c r="F1" s="259"/>
      <c r="G1" s="45"/>
    </row>
    <row r="2" spans="1:7" x14ac:dyDescent="0.55000000000000004">
      <c r="A2" s="259" t="s">
        <v>214</v>
      </c>
      <c r="B2" s="259"/>
      <c r="C2" s="259"/>
      <c r="D2" s="259"/>
      <c r="E2" s="259"/>
      <c r="F2" s="259"/>
      <c r="G2" s="45"/>
    </row>
    <row r="3" spans="1:7" x14ac:dyDescent="0.55000000000000004">
      <c r="A3" s="259" t="str">
        <f>งบทรัพย์สิน!A3</f>
        <v>สำหรับปีสิ้นสุดวันที่ 30 กันยายน 2559</v>
      </c>
      <c r="B3" s="259"/>
      <c r="C3" s="259"/>
      <c r="D3" s="259"/>
      <c r="E3" s="259"/>
      <c r="F3" s="259"/>
      <c r="G3" s="45"/>
    </row>
    <row r="4" spans="1:7" x14ac:dyDescent="0.55000000000000004">
      <c r="A4" s="115"/>
      <c r="B4" s="115"/>
      <c r="C4" s="115"/>
      <c r="D4" s="115"/>
      <c r="E4" s="115"/>
      <c r="F4" s="115"/>
      <c r="G4" s="115"/>
    </row>
    <row r="5" spans="1:7" x14ac:dyDescent="0.55000000000000004">
      <c r="A5" s="16" t="s">
        <v>215</v>
      </c>
      <c r="F5" s="9"/>
    </row>
    <row r="7" spans="1:7" x14ac:dyDescent="0.55000000000000004">
      <c r="A7" s="16" t="s">
        <v>2</v>
      </c>
      <c r="B7" s="16"/>
      <c r="C7" s="16"/>
      <c r="D7" s="16"/>
      <c r="E7" s="16"/>
      <c r="F7" s="81">
        <v>20</v>
      </c>
    </row>
    <row r="8" spans="1:7" x14ac:dyDescent="0.55000000000000004">
      <c r="A8" s="16" t="s">
        <v>3</v>
      </c>
      <c r="B8" s="16" t="s">
        <v>4</v>
      </c>
      <c r="C8" s="16"/>
      <c r="D8" s="184" t="s">
        <v>194</v>
      </c>
      <c r="E8" s="16"/>
      <c r="F8" s="78">
        <v>745512.58</v>
      </c>
    </row>
    <row r="9" spans="1:7" x14ac:dyDescent="0.55000000000000004">
      <c r="A9" s="16"/>
      <c r="B9" s="16" t="s">
        <v>5</v>
      </c>
      <c r="C9" s="16"/>
      <c r="D9" s="184" t="s">
        <v>196</v>
      </c>
      <c r="E9" s="16"/>
      <c r="F9" s="78">
        <v>883686.99</v>
      </c>
    </row>
    <row r="10" spans="1:7" x14ac:dyDescent="0.55000000000000004">
      <c r="A10" s="16"/>
      <c r="B10" s="16" t="s">
        <v>177</v>
      </c>
      <c r="C10" s="16"/>
      <c r="D10" s="184" t="s">
        <v>199</v>
      </c>
      <c r="E10" s="16"/>
      <c r="F10" s="78">
        <v>558897.29</v>
      </c>
    </row>
    <row r="11" spans="1:7" x14ac:dyDescent="0.55000000000000004">
      <c r="A11" s="16"/>
      <c r="B11" s="16" t="s">
        <v>125</v>
      </c>
      <c r="C11" s="16"/>
      <c r="D11" s="184" t="s">
        <v>195</v>
      </c>
      <c r="E11" s="16"/>
      <c r="F11" s="78">
        <v>5613344.4800000004</v>
      </c>
    </row>
    <row r="12" spans="1:7" x14ac:dyDescent="0.55000000000000004">
      <c r="A12" s="16"/>
      <c r="B12" s="16" t="s">
        <v>6</v>
      </c>
      <c r="C12" s="16"/>
      <c r="D12" s="184" t="s">
        <v>197</v>
      </c>
      <c r="E12" s="16"/>
      <c r="F12" s="78">
        <v>7024313.21</v>
      </c>
    </row>
    <row r="13" spans="1:7" x14ac:dyDescent="0.55000000000000004">
      <c r="A13" s="16"/>
      <c r="B13" s="16" t="s">
        <v>69</v>
      </c>
      <c r="C13" s="16"/>
      <c r="D13" s="184" t="s">
        <v>198</v>
      </c>
      <c r="E13" s="16"/>
      <c r="F13" s="78">
        <v>172794.27</v>
      </c>
    </row>
    <row r="14" spans="1:7" ht="24.75" thickBot="1" x14ac:dyDescent="0.6">
      <c r="A14" s="16"/>
      <c r="B14" s="15" t="s">
        <v>9</v>
      </c>
      <c r="C14" s="16"/>
      <c r="D14" s="16"/>
      <c r="E14" s="16"/>
      <c r="F14" s="84">
        <f>SUM(F7:F13)</f>
        <v>14998568.82</v>
      </c>
    </row>
    <row r="15" spans="1:7" ht="24.75" thickTop="1" x14ac:dyDescent="0.55000000000000004">
      <c r="A15" s="16"/>
      <c r="B15" s="15"/>
      <c r="C15" s="16"/>
      <c r="D15" s="16"/>
      <c r="E15" s="16"/>
      <c r="F15" s="37"/>
    </row>
    <row r="16" spans="1:7" x14ac:dyDescent="0.55000000000000004">
      <c r="A16" s="16"/>
      <c r="B16" s="15"/>
      <c r="C16" s="16"/>
      <c r="D16" s="16"/>
      <c r="E16" s="16"/>
      <c r="F16" s="37"/>
    </row>
    <row r="17" spans="1:11" x14ac:dyDescent="0.55000000000000004">
      <c r="B17" s="15"/>
      <c r="F17" s="37"/>
    </row>
    <row r="22" spans="1:11" x14ac:dyDescent="0.55000000000000004">
      <c r="A22" s="264" t="s">
        <v>147</v>
      </c>
      <c r="B22" s="264"/>
      <c r="C22" s="264" t="s">
        <v>148</v>
      </c>
      <c r="D22" s="264"/>
      <c r="E22" s="264" t="s">
        <v>147</v>
      </c>
      <c r="F22" s="264"/>
    </row>
    <row r="23" spans="1:11" s="16" customFormat="1" x14ac:dyDescent="0.55000000000000004">
      <c r="A23" s="259" t="s">
        <v>192</v>
      </c>
      <c r="B23" s="259"/>
      <c r="C23" s="259" t="s">
        <v>213</v>
      </c>
      <c r="D23" s="259"/>
      <c r="E23" s="259" t="s">
        <v>193</v>
      </c>
      <c r="F23" s="259"/>
    </row>
    <row r="24" spans="1:11" x14ac:dyDescent="0.55000000000000004">
      <c r="A24" s="259" t="s">
        <v>171</v>
      </c>
      <c r="B24" s="259"/>
      <c r="C24" s="259" t="s">
        <v>126</v>
      </c>
      <c r="D24" s="259"/>
      <c r="E24" s="259" t="s">
        <v>127</v>
      </c>
      <c r="F24" s="259"/>
      <c r="H24" s="14"/>
      <c r="J24" s="14"/>
      <c r="K24" s="14"/>
    </row>
    <row r="25" spans="1:11" x14ac:dyDescent="0.55000000000000004">
      <c r="A25" s="259"/>
      <c r="B25" s="259"/>
      <c r="C25" s="259"/>
      <c r="D25" s="259"/>
      <c r="E25" s="15"/>
      <c r="F25" s="259"/>
      <c r="G25" s="259"/>
      <c r="H25" s="14"/>
      <c r="J25" s="14"/>
      <c r="K25" s="14"/>
    </row>
    <row r="71" spans="1:6" x14ac:dyDescent="0.55000000000000004">
      <c r="A71" s="16" t="s">
        <v>0</v>
      </c>
    </row>
    <row r="73" spans="1:6" x14ac:dyDescent="0.55000000000000004">
      <c r="A73" s="16" t="s">
        <v>1</v>
      </c>
    </row>
    <row r="75" spans="1:6" x14ac:dyDescent="0.55000000000000004">
      <c r="A75" s="17" t="s">
        <v>2</v>
      </c>
      <c r="F75" s="81">
        <v>144</v>
      </c>
    </row>
    <row r="76" spans="1:6" x14ac:dyDescent="0.55000000000000004">
      <c r="A76" s="17" t="s">
        <v>3</v>
      </c>
      <c r="B76" s="17" t="s">
        <v>4</v>
      </c>
      <c r="C76" s="17" t="s">
        <v>68</v>
      </c>
      <c r="F76" s="85">
        <v>398122.09</v>
      </c>
    </row>
    <row r="77" spans="1:6" x14ac:dyDescent="0.55000000000000004">
      <c r="B77" s="17" t="s">
        <v>5</v>
      </c>
      <c r="C77" s="17" t="s">
        <v>66</v>
      </c>
      <c r="F77" s="85">
        <v>6105645.9900000002</v>
      </c>
    </row>
    <row r="78" spans="1:6" x14ac:dyDescent="0.55000000000000004">
      <c r="B78" s="17" t="s">
        <v>5</v>
      </c>
      <c r="C78" s="17" t="s">
        <v>67</v>
      </c>
      <c r="F78" s="85">
        <v>482.36</v>
      </c>
    </row>
    <row r="79" spans="1:6" x14ac:dyDescent="0.55000000000000004">
      <c r="B79" s="17" t="s">
        <v>6</v>
      </c>
      <c r="F79" s="85">
        <v>1242589.69</v>
      </c>
    </row>
    <row r="80" spans="1:6" x14ac:dyDescent="0.55000000000000004">
      <c r="B80" s="17" t="s">
        <v>69</v>
      </c>
      <c r="F80" s="78">
        <v>37804.57</v>
      </c>
    </row>
    <row r="81" spans="1:6" x14ac:dyDescent="0.55000000000000004">
      <c r="A81" s="17" t="s">
        <v>54</v>
      </c>
      <c r="F81" s="81" t="s">
        <v>7</v>
      </c>
    </row>
    <row r="82" spans="1:6" x14ac:dyDescent="0.55000000000000004">
      <c r="A82" s="17" t="s">
        <v>70</v>
      </c>
      <c r="F82" s="81" t="s">
        <v>7</v>
      </c>
    </row>
    <row r="83" spans="1:6" ht="24.75" thickBot="1" x14ac:dyDescent="0.6">
      <c r="B83" s="15" t="s">
        <v>9</v>
      </c>
      <c r="F83" s="84">
        <v>7784788.71</v>
      </c>
    </row>
    <row r="84" spans="1:6" ht="24.75" thickTop="1" x14ac:dyDescent="0.55000000000000004"/>
  </sheetData>
  <mergeCells count="15">
    <mergeCell ref="E23:F23"/>
    <mergeCell ref="E24:F24"/>
    <mergeCell ref="A24:B24"/>
    <mergeCell ref="C24:D24"/>
    <mergeCell ref="A25:B25"/>
    <mergeCell ref="C25:D25"/>
    <mergeCell ref="F25:G25"/>
    <mergeCell ref="A23:B23"/>
    <mergeCell ref="C23:D23"/>
    <mergeCell ref="A1:F1"/>
    <mergeCell ref="A2:F2"/>
    <mergeCell ref="A3:F3"/>
    <mergeCell ref="A22:B22"/>
    <mergeCell ref="C22:D22"/>
    <mergeCell ref="E22:F22"/>
  </mergeCells>
  <phoneticPr fontId="8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9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43</vt:i4>
      </vt:variant>
      <vt:variant>
        <vt:lpstr>ช่วงที่มีชื่อ</vt:lpstr>
      </vt:variant>
      <vt:variant>
        <vt:i4>3</vt:i4>
      </vt:variant>
    </vt:vector>
  </HeadingPairs>
  <TitlesOfParts>
    <vt:vector size="46" baseType="lpstr">
      <vt:lpstr>งบทดลอง</vt:lpstr>
      <vt:lpstr>งบทดลอง. </vt:lpstr>
      <vt:lpstr>งบการเงิน</vt:lpstr>
      <vt:lpstr>งบทรัพย์สิน</vt:lpstr>
      <vt:lpstr>กระดาษทำการทรัพย์สิน</vt:lpstr>
      <vt:lpstr>ทรัพย์สินเพิ่ม</vt:lpstr>
      <vt:lpstr>ทรัพย์สินลด</vt:lpstr>
      <vt:lpstr>ที่มาทรัพย์สิน</vt:lpstr>
      <vt:lpstr>ฝาก</vt:lpstr>
      <vt:lpstr>รายได้ค้างรับ</vt:lpstr>
      <vt:lpstr>ลูกหนี้ (3)</vt:lpstr>
      <vt:lpstr>ลูกหนี้ (2)</vt:lpstr>
      <vt:lpstr>ลูกหนี้ (4)</vt:lpstr>
      <vt:lpstr>ลูกหนี้ (5)</vt:lpstr>
      <vt:lpstr>ลูกหนี้ (6)</vt:lpstr>
      <vt:lpstr>ค้างจ่าย</vt:lpstr>
      <vt:lpstr>ฎีกาค้างจ่าย</vt:lpstr>
      <vt:lpstr>รับฝาก</vt:lpstr>
      <vt:lpstr>หนี้สินหมุนเวียน</vt:lpstr>
      <vt:lpstr>หนี้สิน</vt:lpstr>
      <vt:lpstr>หนี้สินไม่หมุนเวียน</vt:lpstr>
      <vt:lpstr>เงินสะสม</vt:lpstr>
      <vt:lpstr>ค่าบริการ</vt:lpstr>
      <vt:lpstr>งานบริหาร</vt:lpstr>
      <vt:lpstr>รักษาความสงบ</vt:lpstr>
      <vt:lpstr>การศึกษา</vt:lpstr>
      <vt:lpstr>สาธารณสุข</vt:lpstr>
      <vt:lpstr>สังคมสงเคราะห์</vt:lpstr>
      <vt:lpstr>เคหะชุมชน</vt:lpstr>
      <vt:lpstr>เข้มแข็งของชุมชน</vt:lpstr>
      <vt:lpstr>ศาสนา</vt:lpstr>
      <vt:lpstr>อุตสาหกรรม</vt:lpstr>
      <vt:lpstr>การเกษตร</vt:lpstr>
      <vt:lpstr>การพาณิชย์</vt:lpstr>
      <vt:lpstr>งบกลาง</vt:lpstr>
      <vt:lpstr>แผนงานรวม</vt:lpstr>
      <vt:lpstr>เงินสะสมรวม</vt:lpstr>
      <vt:lpstr>เงินทุนสำรองเงินสะสม</vt:lpstr>
      <vt:lpstr>เงินกู้</vt:lpstr>
      <vt:lpstr>งบรายรับ</vt:lpstr>
      <vt:lpstr>งบรายรับสะสม</vt:lpstr>
      <vt:lpstr>งบรายรับสะสมสำรอง</vt:lpstr>
      <vt:lpstr>งบรายรับสะสมสำรองเงินกู้</vt:lpstr>
      <vt:lpstr>งบทดลอง!Print_Area</vt:lpstr>
      <vt:lpstr>ค้างจ่าย!Print_Titles</vt:lpstr>
      <vt:lpstr>ฎีกาค้างจ่าย!Print_Titles</vt:lpstr>
    </vt:vector>
  </TitlesOfParts>
  <Company>siamtech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papaya</dc:creator>
  <cp:lastModifiedBy>ajt</cp:lastModifiedBy>
  <cp:lastPrinted>2016-10-13T07:41:50Z</cp:lastPrinted>
  <dcterms:created xsi:type="dcterms:W3CDTF">2001-03-14T08:15:30Z</dcterms:created>
  <dcterms:modified xsi:type="dcterms:W3CDTF">2016-11-09T09:14:18Z</dcterms:modified>
</cp:coreProperties>
</file>